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ables/table3.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painter\Dropbox\Annual AEC Bulletin\"/>
    </mc:Choice>
  </mc:AlternateContent>
  <bookViews>
    <workbookView xWindow="0" yWindow="0" windowWidth="23040" windowHeight="8805" tabRatio="816"/>
  </bookViews>
  <sheets>
    <sheet name="Title Page" sheetId="29" r:id="rId1"/>
    <sheet name="Instructions &amp; Assumptions" sheetId="48" r:id="rId2"/>
    <sheet name="Summary" sheetId="24" r:id="rId3"/>
    <sheet name="Sheet1" sheetId="59" state="hidden" r:id="rId4"/>
    <sheet name="Graphical" sheetId="25" r:id="rId5"/>
    <sheet name="Rotation data" sheetId="54" state="hidden" r:id="rId6"/>
    <sheet name="Graph by Crop" sheetId="33" state="hidden" r:id="rId7"/>
    <sheet name="Graph by Rotation" sheetId="56" state="hidden" r:id="rId8"/>
    <sheet name="Input Prices" sheetId="28" r:id="rId9"/>
    <sheet name="Soft White Winter Wheat" sheetId="2" r:id="rId10"/>
    <sheet name="SWWW Calendar" sheetId="3" r:id="rId11"/>
    <sheet name="Hard Red Winter Wheat" sheetId="58" r:id="rId12"/>
    <sheet name="HRWW Calendar" sheetId="57" r:id="rId13"/>
    <sheet name="Soft White Spring Wheat" sheetId="13" r:id="rId14"/>
    <sheet name="SSW Calendar" sheetId="12" r:id="rId15"/>
    <sheet name="Hard Red Spring Wheat" sheetId="10" r:id="rId16"/>
    <sheet name="HRSW Calendar" sheetId="11" r:id="rId17"/>
    <sheet name="Feed Barley" sheetId="27" r:id="rId18"/>
    <sheet name="FB Calendar" sheetId="26" r:id="rId19"/>
    <sheet name="Spring Peas" sheetId="15" r:id="rId20"/>
    <sheet name="SP Calendar" sheetId="14" r:id="rId21"/>
    <sheet name="Austrian Winter Peas" sheetId="49" r:id="rId22"/>
    <sheet name="AWP Calendar" sheetId="50" r:id="rId23"/>
    <sheet name="Spring Lentils" sheetId="17" r:id="rId24"/>
    <sheet name="SL Calendar" sheetId="16" r:id="rId25"/>
    <sheet name="Chickpeas" sheetId="19" r:id="rId26"/>
    <sheet name="CP Calendar" sheetId="18" r:id="rId27"/>
    <sheet name="Spring Canola" sheetId="21" r:id="rId28"/>
    <sheet name="SC Calendar" sheetId="20" r:id="rId29"/>
    <sheet name="Machinery Complement" sheetId="31" r:id="rId30"/>
    <sheet name="Machinery Costs" sheetId="32" r:id="rId31"/>
  </sheets>
  <definedNames>
    <definedName name="Achieve">'Input Prices'!#REF!</definedName>
    <definedName name="AchieveSC">'Input Prices'!$D$49</definedName>
    <definedName name="acres">'Soft White Winter Wheat'!$F$1</definedName>
    <definedName name="Aerial">'Input Prices'!$D$40</definedName>
    <definedName name="Ally">'Input Prices'!$D$50</definedName>
    <definedName name="AmmoniaS">'Input Prices'!$D$33</definedName>
    <definedName name="AmmSulf">#REF!</definedName>
    <definedName name="AmmSulfLiq">'Input Prices'!$D$34</definedName>
    <definedName name="AsanaXL">'Input Prices'!$D$51</definedName>
    <definedName name="AssureII">'Input Prices'!$D$52</definedName>
    <definedName name="Axial">'Input Prices'!$D$53</definedName>
    <definedName name="Barley">'Input Prices'!$D$19</definedName>
    <definedName name="BarleySeed">#REF!</definedName>
    <definedName name="Basagran">'Input Prices'!$D$54</definedName>
    <definedName name="Bronate">'Input Prices'!$D$56</definedName>
    <definedName name="BroxM">'Input Prices'!$D$55</definedName>
    <definedName name="camelina">'Input Prices'!#REF!</definedName>
    <definedName name="Canola">'Input Prices'!$D$23</definedName>
    <definedName name="Capture">'Input Prices'!$D$57</definedName>
    <definedName name="cashrent">'Input Prices'!$D$102</definedName>
    <definedName name="CBudget">#REF!</definedName>
    <definedName name="CIAWP">'Input Prices'!$E$85</definedName>
    <definedName name="CICML">'Input Prices'!#REF!</definedName>
    <definedName name="CIFB">'Input Prices'!$E$82</definedName>
    <definedName name="CIGARB">'Input Prices'!$E$87</definedName>
    <definedName name="CIHRS">'Input Prices'!$D$81</definedName>
    <definedName name="CIOA">'Input Prices'!$E$83</definedName>
    <definedName name="CISC">'Input Prices'!$E$88</definedName>
    <definedName name="CISL">'Input Prices'!$E$86</definedName>
    <definedName name="CISP">'Input Prices'!$E$84</definedName>
    <definedName name="CISSW">'Input Prices'!$D$80</definedName>
    <definedName name="CIWW">'Input Prices'!$D$79</definedName>
    <definedName name="CIYM">'Input Prices'!$E$89</definedName>
    <definedName name="ClassAct">'Input Prices'!#REF!</definedName>
    <definedName name="CMC">'Machinery Costs'!#REF!</definedName>
    <definedName name="CMLSeed">'Input Prices'!#REF!</definedName>
    <definedName name="CMMC">'Machinery Costs'!#REF!</definedName>
    <definedName name="COC">'Input Prices'!$D$35</definedName>
    <definedName name="custgrspray">'Input Prices'!$D$41</definedName>
    <definedName name="customaerial">#REF!</definedName>
    <definedName name="Diesel">'Input Prices'!$D$12</definedName>
    <definedName name="Dimethoate">'Input Prices'!$D$58</definedName>
    <definedName name="Discover">'Input Prices'!$D$59</definedName>
    <definedName name="DNSSd">'Input Prices'!$D$18</definedName>
    <definedName name="DPest">'Input Prices'!$D$48</definedName>
    <definedName name="DPesticide">#REF!</definedName>
    <definedName name="Excel">'Input Prices'!#REF!</definedName>
    <definedName name="Fargo">'Input Prices'!$D$60</definedName>
    <definedName name="FertApplicator">'Input Prices'!$D$42</definedName>
    <definedName name="FertilizerApplicator">#REF!</definedName>
    <definedName name="Finesse">'Input Prices'!$D$61</definedName>
    <definedName name="Garbanzo">'Input Prices'!$D$22</definedName>
    <definedName name="Gas">'Input Prices'!$D$13</definedName>
    <definedName name="GBudget">Chickpeas!#REF!</definedName>
    <definedName name="Glyphosphate">'Input Prices'!$D$62</definedName>
    <definedName name="GMC">'Machinery Costs'!#REF!</definedName>
    <definedName name="Gypsum">'Input Prices'!#REF!</definedName>
    <definedName name="hardredspringwheat">#REF!</definedName>
    <definedName name="Headline">'Input Prices'!$D$63</definedName>
    <definedName name="HourlyMachineLabor">#REF!</definedName>
    <definedName name="Imidan">'Input Prices'!$D$64</definedName>
    <definedName name="InPlace">'Input Prices'!$D$34</definedName>
    <definedName name="Labor">'Input Prices'!$D$92</definedName>
    <definedName name="Landtax">'Input Prices'!#REF!</definedName>
    <definedName name="Lentil">'Input Prices'!$D$21</definedName>
    <definedName name="liquidN">'Input Prices'!$D$27</definedName>
    <definedName name="Lorox">'Input Prices'!$D$65</definedName>
    <definedName name="M">'Input Prices'!#REF!</definedName>
    <definedName name="Maverick">'Input Prices'!$D$66</definedName>
    <definedName name="MF">'Input Prices'!$D$99</definedName>
    <definedName name="MT">'Input Prices'!$D$67</definedName>
    <definedName name="MustMax">'Input Prices'!$D$68</definedName>
    <definedName name="MustSd">'Input Prices'!#REF!</definedName>
    <definedName name="Nitrogen">'Input Prices'!$D$26</definedName>
    <definedName name="NitrogenPriceAssumption">#REF!</definedName>
    <definedName name="oh">'Input Prices'!$D$96</definedName>
    <definedName name="OL">'Input Prices'!$D$93</definedName>
    <definedName name="operloan">'Input Prices'!$D$104</definedName>
    <definedName name="OperShare">Summary!$L$13</definedName>
    <definedName name="Osprey">'Input Prices'!$D$69</definedName>
    <definedName name="OwnerShare">Summary!$L$14</definedName>
    <definedName name="pawp">Summary!$E$21</definedName>
    <definedName name="pcml">Summary!#REF!</definedName>
    <definedName name="Pea">'Input Prices'!$D$20</definedName>
    <definedName name="pg">Summary!$E$23</definedName>
    <definedName name="Phosphorous">'Input Prices'!$D$28</definedName>
    <definedName name="phrsw">Summary!$E$18</definedName>
    <definedName name="pl">Summary!$E$22</definedName>
    <definedName name="po">Summary!#REF!</definedName>
    <definedName name="poast">'Input Prices'!$D$70</definedName>
    <definedName name="Potassium">'Input Prices'!$D$30</definedName>
    <definedName name="pp">Summary!$E$20</definedName>
    <definedName name="_xlnm.Print_Area" localSheetId="21">'Austrian Winter Peas'!$B$8:$J$108</definedName>
    <definedName name="_xlnm.Print_Area" localSheetId="22">'AWP Calendar'!$B$2:$E$22</definedName>
    <definedName name="_xlnm.Print_Area" localSheetId="25">Chickpeas!$B$7:$J$108</definedName>
    <definedName name="_xlnm.Print_Area" localSheetId="26">'CP Calendar'!$B$2:$E$22</definedName>
    <definedName name="_xlnm.Print_Area" localSheetId="18">'FB Calendar'!$B$2:$E$20</definedName>
    <definedName name="_xlnm.Print_Area" localSheetId="17">'Feed Barley'!$B$8:$J$106</definedName>
    <definedName name="_xlnm.Print_Area" localSheetId="6">'Graph by Crop'!$B$1:$L$49</definedName>
    <definedName name="_xlnm.Print_Area" localSheetId="4">Graphical!$A$1:$M$57</definedName>
    <definedName name="_xlnm.Print_Area" localSheetId="15">'Hard Red Spring Wheat'!$B$8:$J$117</definedName>
    <definedName name="_xlnm.Print_Area" localSheetId="11">'Hard Red Winter Wheat'!$A$1:$K$113</definedName>
    <definedName name="_xlnm.Print_Area" localSheetId="16">'HRSW Calendar'!$B$2:$E$22</definedName>
    <definedName name="_xlnm.Print_Area" localSheetId="12">'HRWW Calendar'!$B$2:$E$23</definedName>
    <definedName name="_xlnm.Print_Area" localSheetId="8">'Input Prices'!$B$8:$E$108</definedName>
    <definedName name="_xlnm.Print_Area" localSheetId="1">'Instructions &amp; Assumptions'!$A$1:$O$120</definedName>
    <definedName name="_xlnm.Print_Area" localSheetId="29">'Machinery Complement'!$B$2:$L$29</definedName>
    <definedName name="_xlnm.Print_Area" localSheetId="30">'Machinery Costs'!$B$2:$N$265</definedName>
    <definedName name="_xlnm.Print_Area" localSheetId="28">'SC Calendar'!$B$2:$E$25</definedName>
    <definedName name="_xlnm.Print_Area" localSheetId="24">'SL Calendar'!$B$2:$E$22</definedName>
    <definedName name="_xlnm.Print_Area" localSheetId="13">'Soft White Spring Wheat'!$B$8:$J$116</definedName>
    <definedName name="_xlnm.Print_Area" localSheetId="9">'Soft White Winter Wheat'!$B$8:$K$111</definedName>
    <definedName name="_xlnm.Print_Area" localSheetId="20">'SP Calendar'!$B$2:$E$22</definedName>
    <definedName name="_xlnm.Print_Area" localSheetId="27">'Spring Canola'!$B$8:$J$107</definedName>
    <definedName name="_xlnm.Print_Area" localSheetId="23">'Spring Lentils'!$B$7:$J$105</definedName>
    <definedName name="_xlnm.Print_Area" localSheetId="19">'Spring Peas'!$B$8:$J$107</definedName>
    <definedName name="_xlnm.Print_Area" localSheetId="14">'SSW Calendar'!$B$2:$E$22</definedName>
    <definedName name="_xlnm.Print_Area" localSheetId="2">Summary!$B$8:$L$37</definedName>
    <definedName name="_xlnm.Print_Area" localSheetId="10">'SWWW Calendar'!$B$2:$E$18</definedName>
    <definedName name="_xlnm.Print_Area" localSheetId="0">'Title Page'!$A$1:$K$52</definedName>
    <definedName name="_xlnm.Print_Titles" localSheetId="25">Chickpeas!$7:$11</definedName>
    <definedName name="_xlnm.Print_Titles" localSheetId="17">'Feed Barley'!$8:$12</definedName>
    <definedName name="_xlnm.Print_Titles" localSheetId="4">Graphical!$2:$2</definedName>
    <definedName name="_xlnm.Print_Titles" localSheetId="15">'Hard Red Spring Wheat'!$8:$12</definedName>
    <definedName name="_xlnm.Print_Titles" localSheetId="8">'Input Prices'!$8:$10</definedName>
    <definedName name="_xlnm.Print_Titles" localSheetId="13">'Soft White Spring Wheat'!$8:$12</definedName>
    <definedName name="_xlnm.Print_Titles" localSheetId="9">'Soft White Winter Wheat'!$8:$12</definedName>
    <definedName name="_xlnm.Print_Titles" localSheetId="27">'Spring Canola'!$8:$12</definedName>
    <definedName name="_xlnm.Print_Titles" localSheetId="23">'Spring Lentils'!$7:$11</definedName>
    <definedName name="_xlnm.Print_Titles" localSheetId="19">'Spring Peas'!$8:$12</definedName>
    <definedName name="Prowl">'Input Prices'!$D$71</definedName>
    <definedName name="psb">Summary!#REF!</definedName>
    <definedName name="psc">Summary!$E$24</definedName>
    <definedName name="pswsw">Summary!$E$17</definedName>
    <definedName name="Pursuit">'Input Prices'!$D$72</definedName>
    <definedName name="pww">Summary!$E$15</definedName>
    <definedName name="pym">Summary!#REF!</definedName>
    <definedName name="Quadris">'Input Prices'!$D$74</definedName>
    <definedName name="Quilt">'Input Prices'!$D$75</definedName>
    <definedName name="RedWheat">'Input Prices'!#REF!</definedName>
    <definedName name="RentalSprayer">#REF!</definedName>
    <definedName name="Rhomene">'Input Prices'!$D$73</definedName>
    <definedName name="Rotation">'Rotation data'!$A$6:$A$29</definedName>
    <definedName name="RotationData">'Rotation data'!$A$6:$G$29</definedName>
    <definedName name="Roundup">#REF!</definedName>
    <definedName name="RPest">'Input Prices'!$D$35</definedName>
    <definedName name="RSW">'Hard Red Spring Wheat'!$A$7</definedName>
    <definedName name="RSWMC">'Machinery Costs'!#REF!</definedName>
    <definedName name="sample">'Input Prices'!$D$24</definedName>
    <definedName name="SB">'Feed Barley'!$A$7</definedName>
    <definedName name="SBMC">'Machinery Costs'!#REF!</definedName>
    <definedName name="SC">'Spring Canola'!$A$7</definedName>
    <definedName name="SCMC">'Machinery Costs'!#REF!</definedName>
    <definedName name="SF">'Machinery Costs'!#REF!</definedName>
    <definedName name="Shooter">'Input Prices'!$D$44</definedName>
    <definedName name="Shredder">'Input Prices'!$D$43</definedName>
    <definedName name="SL">'Spring Lentils'!$A$6</definedName>
    <definedName name="SLMC">'Machinery Costs'!#REF!</definedName>
    <definedName name="SPeas">'Spring Peas'!$A$7</definedName>
    <definedName name="SPMC">'Machinery Costs'!#REF!</definedName>
    <definedName name="Sprayer">'Input Prices'!$D$45</definedName>
    <definedName name="SpringPeaSeed">#REF!</definedName>
    <definedName name="Starane">'Input Prices'!$D$76</definedName>
    <definedName name="StaraneSalvo">'Input Prices'!#REF!</definedName>
    <definedName name="StaraneSword">'Input Prices'!#REF!</definedName>
    <definedName name="Sulfur">'Input Prices'!$D$29</definedName>
    <definedName name="surf">'Input Prices'!$D$36</definedName>
    <definedName name="Surfactant">'Input Prices'!#REF!</definedName>
    <definedName name="SW">'Soft White Spring Wheat'!$A$7</definedName>
    <definedName name="SWMC">'Machinery Costs'!#REF!</definedName>
    <definedName name="SWSd">'Input Prices'!$D$17</definedName>
    <definedName name="SWSWSd">'Input Prices'!$D$17</definedName>
    <definedName name="SWWWSd">'Input Prices'!$D$16</definedName>
    <definedName name="Syltac">'Input Prices'!$D$37</definedName>
    <definedName name="SyltacS">#REF!</definedName>
    <definedName name="Targa">'Input Prices'!#REF!</definedName>
    <definedName name="UltraPest">'Input Prices'!#REF!</definedName>
    <definedName name="UltraPro">'Input Prices'!$D$32</definedName>
    <definedName name="UltraProPesticide">#REF!</definedName>
    <definedName name="Wheat">'Input Prices'!#REF!</definedName>
    <definedName name="WheatSeed">#REF!</definedName>
    <definedName name="WW">'Soft White Winter Wheat'!#REF!</definedName>
    <definedName name="WWMC">'Machinery Costs'!#REF!</definedName>
    <definedName name="yawp">Summary!$D$21</definedName>
    <definedName name="ycml">Summary!#REF!</definedName>
    <definedName name="yg">Summary!$D$23</definedName>
    <definedName name="yhrsw">Summary!$D$18</definedName>
    <definedName name="yhrww">Summary!$D$16</definedName>
    <definedName name="yl">Summary!$D$22</definedName>
    <definedName name="yp">Summary!$D$20</definedName>
    <definedName name="ysb">Summary!#REF!</definedName>
    <definedName name="ysc">Summary!$D$24</definedName>
    <definedName name="yswsw">Summary!$D$17</definedName>
    <definedName name="yw">Summary!#REF!</definedName>
    <definedName name="yww">Summary!$D$15</definedName>
    <definedName name="yym">Summary!#REF!</definedName>
    <definedName name="Z_5519EDA0_AC19_11DC_BDFC_0017F2D6B148_.wvu.Cols" localSheetId="15" hidden="1">'Hard Red Spring Wheat'!$K:$K</definedName>
    <definedName name="Z_5519EDA0_AC19_11DC_BDFC_0017F2D6B148_.wvu.Cols" localSheetId="13" hidden="1">'Soft White Spring Wheat'!$K:$K</definedName>
    <definedName name="Z_5519EDA0_AC19_11DC_BDFC_0017F2D6B148_.wvu.Cols" localSheetId="9" hidden="1">'Soft White Winter Wheat'!$K:$K</definedName>
    <definedName name="Z_5519EDA0_AC19_11DC_BDFC_0017F2D6B148_.wvu.Cols" localSheetId="19" hidden="1">'Spring Peas'!$K:$K</definedName>
    <definedName name="Z_5519EDA0_AC19_11DC_BDFC_0017F2D6B148_.wvu.PrintArea" localSheetId="9" hidden="1">'Soft White Winter Wheat'!$B$8:$K$81</definedName>
    <definedName name="Z_DF41C481_38FD_4F9F_AEF1_AE5420249928_.wvu.Cols" localSheetId="9" hidden="1">'Soft White Winter Wheat'!$K:$K</definedName>
    <definedName name="Z_DF41C481_38FD_4F9F_AEF1_AE5420249928_.wvu.PrintArea" localSheetId="9" hidden="1">'Soft White Winter Wheat'!$B$8:$K$81</definedName>
    <definedName name="Z_E00EC0C4_E70A_4D33_A9FE_7CF308F53A5C_.wvu.Cols" localSheetId="9" hidden="1">'Soft White Winter Wheat'!$K:$K</definedName>
    <definedName name="Z_E00EC0C4_E70A_4D33_A9FE_7CF308F53A5C_.wvu.PrintArea" localSheetId="9" hidden="1">'Soft White Winter Wheat'!$B$8:$K$81</definedName>
  </definedNames>
  <calcPr calcId="152511"/>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fileRecoveryPr repairLoad="1"/>
</workbook>
</file>

<file path=xl/calcChain.xml><?xml version="1.0" encoding="utf-8"?>
<calcChain xmlns="http://schemas.openxmlformats.org/spreadsheetml/2006/main">
  <c r="C25" i="25" l="1"/>
  <c r="H19" i="58"/>
  <c r="J19" i="58"/>
  <c r="J18" i="58"/>
  <c r="H24" i="58"/>
  <c r="J24" i="58"/>
  <c r="H25" i="58"/>
  <c r="J25" i="58"/>
  <c r="H26" i="58"/>
  <c r="J26" i="58"/>
  <c r="J21" i="58"/>
  <c r="H27" i="58"/>
  <c r="J27" i="58"/>
  <c r="H33" i="58"/>
  <c r="J33" i="58"/>
  <c r="H34" i="58"/>
  <c r="J34" i="58"/>
  <c r="H35" i="58"/>
  <c r="J35" i="58"/>
  <c r="H36" i="58"/>
  <c r="J36" i="58"/>
  <c r="J29" i="58"/>
  <c r="H39" i="58"/>
  <c r="J39" i="58"/>
  <c r="H40" i="58"/>
  <c r="J40" i="58"/>
  <c r="J38" i="58"/>
  <c r="M6" i="32"/>
  <c r="M65" i="32" s="1"/>
  <c r="M22" i="32"/>
  <c r="M66" i="32" s="1"/>
  <c r="M7" i="32"/>
  <c r="M67" i="32" s="1"/>
  <c r="M9" i="32"/>
  <c r="M68" i="32" s="1"/>
  <c r="M10" i="32"/>
  <c r="M69" i="32" s="1"/>
  <c r="M11" i="32"/>
  <c r="M48" i="32" s="1"/>
  <c r="M13" i="32"/>
  <c r="M71" i="32" s="1"/>
  <c r="M16" i="32"/>
  <c r="M73" i="32" s="1"/>
  <c r="M20" i="32"/>
  <c r="M74" i="32" s="1"/>
  <c r="M12" i="32"/>
  <c r="M75" i="32" s="1"/>
  <c r="M17" i="32"/>
  <c r="M76" i="32" s="1"/>
  <c r="M18" i="32"/>
  <c r="M55" i="32" s="1"/>
  <c r="M8" i="32"/>
  <c r="M78" i="32" s="1"/>
  <c r="M21" i="32"/>
  <c r="M58" i="32" s="1"/>
  <c r="H43" i="58"/>
  <c r="I65" i="32"/>
  <c r="I66" i="32"/>
  <c r="I67" i="32"/>
  <c r="I68" i="32"/>
  <c r="I69" i="32"/>
  <c r="I70" i="32"/>
  <c r="I71" i="32"/>
  <c r="I73" i="32"/>
  <c r="I74" i="32"/>
  <c r="I75" i="32"/>
  <c r="I76" i="32"/>
  <c r="I77" i="32"/>
  <c r="I78" i="32"/>
  <c r="I80" i="32"/>
  <c r="G65" i="32"/>
  <c r="G66" i="32"/>
  <c r="G67" i="32"/>
  <c r="G68" i="32"/>
  <c r="G69" i="32"/>
  <c r="G70" i="32"/>
  <c r="G71" i="32"/>
  <c r="G73" i="32"/>
  <c r="G74" i="32"/>
  <c r="G75" i="32"/>
  <c r="G76" i="32"/>
  <c r="G77" i="32"/>
  <c r="G78" i="32"/>
  <c r="G80" i="32"/>
  <c r="L6" i="32"/>
  <c r="L65" i="32" s="1"/>
  <c r="L66" i="32"/>
  <c r="L7" i="32"/>
  <c r="L67" i="32" s="1"/>
  <c r="L9" i="32"/>
  <c r="L251" i="32" s="1"/>
  <c r="L10" i="32"/>
  <c r="L69" i="32" s="1"/>
  <c r="L11" i="32"/>
  <c r="L70" i="32" s="1"/>
  <c r="L71" i="32"/>
  <c r="L73" i="32"/>
  <c r="L74" i="32"/>
  <c r="L75" i="32"/>
  <c r="L76" i="32"/>
  <c r="L77" i="32"/>
  <c r="L8" i="32"/>
  <c r="L145" i="32" s="1"/>
  <c r="L80" i="32"/>
  <c r="H46" i="58"/>
  <c r="H49" i="58"/>
  <c r="J49" i="58"/>
  <c r="H50" i="58"/>
  <c r="J50" i="58"/>
  <c r="H51" i="58"/>
  <c r="J51" i="58"/>
  <c r="J48" i="58"/>
  <c r="H54" i="58"/>
  <c r="J54" i="58"/>
  <c r="J55" i="58"/>
  <c r="J53" i="58"/>
  <c r="C65" i="32"/>
  <c r="C66" i="32"/>
  <c r="C67" i="32"/>
  <c r="C68" i="32"/>
  <c r="C69" i="32"/>
  <c r="C70" i="32"/>
  <c r="C71" i="32"/>
  <c r="C73" i="32"/>
  <c r="C74" i="32"/>
  <c r="C75" i="32"/>
  <c r="C76" i="32"/>
  <c r="C77" i="32"/>
  <c r="C78" i="32"/>
  <c r="C80" i="32"/>
  <c r="D65" i="32"/>
  <c r="D66" i="32"/>
  <c r="D67" i="32"/>
  <c r="D68" i="32"/>
  <c r="D69" i="32"/>
  <c r="D70" i="32"/>
  <c r="D71" i="32"/>
  <c r="D73" i="32"/>
  <c r="D74" i="32"/>
  <c r="D75" i="32"/>
  <c r="D76" i="32"/>
  <c r="D77" i="32"/>
  <c r="D78" i="32"/>
  <c r="D80" i="32"/>
  <c r="E65" i="32"/>
  <c r="E66" i="32"/>
  <c r="E67" i="32"/>
  <c r="E68" i="32"/>
  <c r="E69" i="32"/>
  <c r="E70" i="32"/>
  <c r="E71" i="32"/>
  <c r="E73" i="32"/>
  <c r="E74" i="32"/>
  <c r="E75" i="32"/>
  <c r="E76" i="32"/>
  <c r="E77" i="32"/>
  <c r="E78" i="32"/>
  <c r="E80" i="32"/>
  <c r="D14" i="58"/>
  <c r="H14" i="58"/>
  <c r="D70" i="58"/>
  <c r="H68" i="58"/>
  <c r="J68" i="58"/>
  <c r="J14" i="58"/>
  <c r="J74" i="58"/>
  <c r="H19" i="10"/>
  <c r="J19" i="10"/>
  <c r="J18" i="10"/>
  <c r="H24" i="10"/>
  <c r="J24" i="10"/>
  <c r="H25" i="10"/>
  <c r="J25" i="10"/>
  <c r="H26" i="10"/>
  <c r="J26" i="10"/>
  <c r="H27" i="10"/>
  <c r="J27" i="10"/>
  <c r="J21" i="10"/>
  <c r="H33" i="10"/>
  <c r="J33" i="10"/>
  <c r="H34" i="10"/>
  <c r="J34" i="10"/>
  <c r="H35" i="10"/>
  <c r="J35" i="10"/>
  <c r="H36" i="10"/>
  <c r="J36" i="10"/>
  <c r="H37" i="10"/>
  <c r="J37" i="10"/>
  <c r="H38" i="10"/>
  <c r="J38" i="10"/>
  <c r="J29" i="10"/>
  <c r="J43" i="10"/>
  <c r="J44" i="10"/>
  <c r="J42" i="10"/>
  <c r="H47" i="10"/>
  <c r="J47" i="10"/>
  <c r="J48" i="10"/>
  <c r="J49" i="10"/>
  <c r="H50" i="10"/>
  <c r="J50" i="10"/>
  <c r="J51" i="10"/>
  <c r="J46" i="10"/>
  <c r="H54" i="10"/>
  <c r="J54" i="10"/>
  <c r="H55" i="10"/>
  <c r="J55" i="10"/>
  <c r="H56" i="10"/>
  <c r="J56" i="10"/>
  <c r="J53" i="10"/>
  <c r="H59" i="10"/>
  <c r="J59" i="10"/>
  <c r="J60" i="10"/>
  <c r="J58" i="10"/>
  <c r="J65" i="10"/>
  <c r="C110" i="32"/>
  <c r="C111" i="32"/>
  <c r="C112" i="32"/>
  <c r="C113" i="32"/>
  <c r="C114" i="32"/>
  <c r="C115" i="32"/>
  <c r="C116" i="32"/>
  <c r="C118" i="32"/>
  <c r="C119" i="32"/>
  <c r="C120" i="32"/>
  <c r="C121" i="32"/>
  <c r="C122" i="32"/>
  <c r="C124" i="32"/>
  <c r="C125" i="32"/>
  <c r="D110" i="32"/>
  <c r="D111" i="32"/>
  <c r="D112" i="32"/>
  <c r="D113" i="32"/>
  <c r="D114" i="32"/>
  <c r="D115" i="32"/>
  <c r="D116" i="32"/>
  <c r="D118" i="32"/>
  <c r="D119" i="32"/>
  <c r="D120" i="32"/>
  <c r="D121" i="32"/>
  <c r="D122" i="32"/>
  <c r="D124" i="32"/>
  <c r="D125" i="32"/>
  <c r="E110" i="32"/>
  <c r="E111" i="32"/>
  <c r="E112" i="32"/>
  <c r="E113" i="32"/>
  <c r="E114" i="32"/>
  <c r="E115" i="32"/>
  <c r="E116" i="32"/>
  <c r="E118" i="32"/>
  <c r="E119" i="32"/>
  <c r="E120" i="32"/>
  <c r="E121" i="32"/>
  <c r="E122" i="32"/>
  <c r="E124" i="32"/>
  <c r="E125" i="32"/>
  <c r="D14" i="10"/>
  <c r="H14" i="10"/>
  <c r="D75" i="10"/>
  <c r="H73" i="10"/>
  <c r="J73" i="10"/>
  <c r="J78" i="10"/>
  <c r="J14" i="10"/>
  <c r="J79" i="10"/>
  <c r="H19" i="2"/>
  <c r="J19" i="2"/>
  <c r="J18" i="2"/>
  <c r="H24" i="2"/>
  <c r="J24" i="2"/>
  <c r="H25" i="2"/>
  <c r="J25" i="2"/>
  <c r="H26" i="2"/>
  <c r="J26" i="2"/>
  <c r="J21" i="2"/>
  <c r="H32" i="2"/>
  <c r="J32" i="2"/>
  <c r="H33" i="2"/>
  <c r="J33" i="2"/>
  <c r="H34" i="2"/>
  <c r="J34" i="2"/>
  <c r="H35" i="2"/>
  <c r="J35" i="2"/>
  <c r="J28" i="2"/>
  <c r="H38" i="2"/>
  <c r="J38" i="2"/>
  <c r="H39" i="2"/>
  <c r="J39" i="2"/>
  <c r="J37" i="2"/>
  <c r="M43" i="32"/>
  <c r="H42" i="2"/>
  <c r="I43" i="32"/>
  <c r="I44" i="32"/>
  <c r="I45" i="32"/>
  <c r="I46" i="32"/>
  <c r="I47" i="32"/>
  <c r="I48" i="32"/>
  <c r="I49" i="32"/>
  <c r="I51" i="32"/>
  <c r="I52" i="32"/>
  <c r="I53" i="32"/>
  <c r="I54" i="32"/>
  <c r="I55" i="32"/>
  <c r="I56" i="32"/>
  <c r="I58" i="32"/>
  <c r="G43" i="32"/>
  <c r="G44" i="32"/>
  <c r="G45" i="32"/>
  <c r="G46" i="32"/>
  <c r="G47" i="32"/>
  <c r="G48" i="32"/>
  <c r="G49" i="32"/>
  <c r="G51" i="32"/>
  <c r="G52" i="32"/>
  <c r="G53" i="32"/>
  <c r="G54" i="32"/>
  <c r="G55" i="32"/>
  <c r="G56" i="32"/>
  <c r="G58" i="32"/>
  <c r="L44" i="32"/>
  <c r="L45" i="32"/>
  <c r="L46" i="32"/>
  <c r="L47" i="32"/>
  <c r="L49" i="32"/>
  <c r="L51" i="32"/>
  <c r="L52" i="32"/>
  <c r="L53" i="32"/>
  <c r="L54" i="32"/>
  <c r="L55" i="32"/>
  <c r="L58" i="32"/>
  <c r="H45" i="2"/>
  <c r="H48" i="2"/>
  <c r="J48" i="2"/>
  <c r="H49" i="2"/>
  <c r="J49" i="2"/>
  <c r="H50" i="2"/>
  <c r="J50" i="2"/>
  <c r="J47" i="2"/>
  <c r="H53" i="2"/>
  <c r="J53" i="2"/>
  <c r="J54" i="2"/>
  <c r="J52" i="2"/>
  <c r="C43" i="32"/>
  <c r="C44" i="32"/>
  <c r="C45" i="32"/>
  <c r="C46" i="32"/>
  <c r="C47" i="32"/>
  <c r="C48" i="32"/>
  <c r="C49" i="32"/>
  <c r="C51" i="32"/>
  <c r="C52" i="32"/>
  <c r="C53" i="32"/>
  <c r="C54" i="32"/>
  <c r="C55" i="32"/>
  <c r="C56" i="32"/>
  <c r="C58" i="32"/>
  <c r="D43" i="32"/>
  <c r="D44" i="32"/>
  <c r="D45" i="32"/>
  <c r="D46" i="32"/>
  <c r="D47" i="32"/>
  <c r="D48" i="32"/>
  <c r="D49" i="32"/>
  <c r="D51" i="32"/>
  <c r="D52" i="32"/>
  <c r="D53" i="32"/>
  <c r="D54" i="32"/>
  <c r="D55" i="32"/>
  <c r="D56" i="32"/>
  <c r="D58" i="32"/>
  <c r="E43" i="32"/>
  <c r="E44" i="32"/>
  <c r="E45" i="32"/>
  <c r="E46" i="32"/>
  <c r="E47" i="32"/>
  <c r="E48" i="32"/>
  <c r="E49" i="32"/>
  <c r="E51" i="32"/>
  <c r="E52" i="32"/>
  <c r="E53" i="32"/>
  <c r="E54" i="32"/>
  <c r="E55" i="32"/>
  <c r="E56" i="32"/>
  <c r="E58" i="32"/>
  <c r="D14" i="2"/>
  <c r="H14" i="2"/>
  <c r="D69" i="2"/>
  <c r="H67" i="2"/>
  <c r="J67" i="2"/>
  <c r="J14" i="2"/>
  <c r="J73" i="2"/>
  <c r="M134" i="32"/>
  <c r="M15" i="32"/>
  <c r="M142" i="32" s="1"/>
  <c r="M144" i="32"/>
  <c r="M148" i="32"/>
  <c r="M133" i="32"/>
  <c r="H39" i="27"/>
  <c r="H42" i="27"/>
  <c r="L134" i="32"/>
  <c r="L135" i="32"/>
  <c r="L137" i="32"/>
  <c r="L138" i="32"/>
  <c r="L139" i="32"/>
  <c r="L141" i="32"/>
  <c r="L142" i="32"/>
  <c r="L143" i="32"/>
  <c r="L144" i="32"/>
  <c r="L147" i="32"/>
  <c r="L148" i="32"/>
  <c r="I133" i="32"/>
  <c r="I134" i="32"/>
  <c r="I135" i="32"/>
  <c r="I136" i="32"/>
  <c r="I137" i="32"/>
  <c r="I138" i="32"/>
  <c r="I139" i="32"/>
  <c r="I141" i="32"/>
  <c r="I142" i="32"/>
  <c r="I143" i="32"/>
  <c r="I144" i="32"/>
  <c r="I145" i="32"/>
  <c r="I147" i="32"/>
  <c r="I148" i="32"/>
  <c r="G133" i="32"/>
  <c r="G134" i="32"/>
  <c r="G135" i="32"/>
  <c r="G136" i="32"/>
  <c r="G137" i="32"/>
  <c r="G138" i="32"/>
  <c r="G139" i="32"/>
  <c r="G141" i="32"/>
  <c r="G142" i="32"/>
  <c r="G143" i="32"/>
  <c r="G144" i="32"/>
  <c r="G145" i="32"/>
  <c r="G147" i="32"/>
  <c r="G148" i="32"/>
  <c r="H19" i="27"/>
  <c r="J19" i="27"/>
  <c r="J18" i="27"/>
  <c r="H24" i="27"/>
  <c r="J24" i="27"/>
  <c r="H25" i="27"/>
  <c r="J25" i="27"/>
  <c r="H26" i="27"/>
  <c r="J26" i="27"/>
  <c r="J21" i="27"/>
  <c r="H32" i="27"/>
  <c r="J32" i="27"/>
  <c r="H33" i="27"/>
  <c r="J33" i="27"/>
  <c r="H34" i="27"/>
  <c r="J34" i="27"/>
  <c r="H35" i="27"/>
  <c r="J35" i="27"/>
  <c r="H36" i="27"/>
  <c r="J36" i="27"/>
  <c r="J28" i="27"/>
  <c r="H45" i="27"/>
  <c r="J45" i="27"/>
  <c r="H46" i="27"/>
  <c r="J46" i="27"/>
  <c r="J44" i="27"/>
  <c r="J49" i="27"/>
  <c r="J50" i="27"/>
  <c r="J48" i="27"/>
  <c r="H14" i="27"/>
  <c r="D65" i="27"/>
  <c r="H63" i="27"/>
  <c r="J63" i="27"/>
  <c r="J14" i="27"/>
  <c r="J69" i="27"/>
  <c r="C133" i="32"/>
  <c r="C134" i="32"/>
  <c r="C135" i="32"/>
  <c r="C136" i="32"/>
  <c r="C137" i="32"/>
  <c r="C138" i="32"/>
  <c r="C139" i="32"/>
  <c r="C141" i="32"/>
  <c r="C142" i="32"/>
  <c r="C143" i="32"/>
  <c r="C144" i="32"/>
  <c r="C145" i="32"/>
  <c r="C147" i="32"/>
  <c r="C148" i="32"/>
  <c r="D133" i="32"/>
  <c r="D134" i="32"/>
  <c r="D135" i="32"/>
  <c r="D136" i="32"/>
  <c r="D137" i="32"/>
  <c r="D138" i="32"/>
  <c r="D139" i="32"/>
  <c r="D141" i="32"/>
  <c r="D142" i="32"/>
  <c r="D143" i="32"/>
  <c r="D144" i="32"/>
  <c r="D145" i="32"/>
  <c r="D147" i="32"/>
  <c r="D148" i="32"/>
  <c r="E133" i="32"/>
  <c r="E134" i="32"/>
  <c r="E135" i="32"/>
  <c r="E136" i="32"/>
  <c r="E137" i="32"/>
  <c r="E138" i="32"/>
  <c r="E139" i="32"/>
  <c r="E141" i="32"/>
  <c r="E142" i="32"/>
  <c r="E143" i="32"/>
  <c r="E144" i="32"/>
  <c r="E145" i="32"/>
  <c r="E147" i="32"/>
  <c r="E148" i="32"/>
  <c r="M249" i="32"/>
  <c r="M253" i="32"/>
  <c r="M256" i="32"/>
  <c r="M258" i="32"/>
  <c r="M19" i="32"/>
  <c r="M259" i="32" s="1"/>
  <c r="M14" i="32"/>
  <c r="M263" i="32" s="1"/>
  <c r="M248" i="32"/>
  <c r="H38" i="21"/>
  <c r="H41" i="21"/>
  <c r="L249" i="32"/>
  <c r="L250" i="32"/>
  <c r="L252" i="32"/>
  <c r="L253" i="32"/>
  <c r="L254" i="32"/>
  <c r="L256" i="32"/>
  <c r="L257" i="32"/>
  <c r="L258" i="32"/>
  <c r="L259" i="32"/>
  <c r="L260" i="32"/>
  <c r="L263" i="32"/>
  <c r="I248" i="32"/>
  <c r="I249" i="32"/>
  <c r="I250" i="32"/>
  <c r="I251" i="32"/>
  <c r="I252" i="32"/>
  <c r="I253" i="32"/>
  <c r="I254" i="32"/>
  <c r="I256" i="32"/>
  <c r="I257" i="32"/>
  <c r="I258" i="32"/>
  <c r="I259" i="32"/>
  <c r="I260" i="32"/>
  <c r="I261" i="32"/>
  <c r="I263" i="32"/>
  <c r="G248" i="32"/>
  <c r="G249" i="32"/>
  <c r="G250" i="32"/>
  <c r="G251" i="32"/>
  <c r="G252" i="32"/>
  <c r="G253" i="32"/>
  <c r="G254" i="32"/>
  <c r="G256" i="32"/>
  <c r="G257" i="32"/>
  <c r="G258" i="32"/>
  <c r="G259" i="32"/>
  <c r="G260" i="32"/>
  <c r="G261" i="32"/>
  <c r="G263" i="32"/>
  <c r="H19" i="21"/>
  <c r="J19" i="21"/>
  <c r="J18" i="21"/>
  <c r="H24" i="21"/>
  <c r="J24" i="21"/>
  <c r="H25" i="21"/>
  <c r="J25" i="21"/>
  <c r="H26" i="21"/>
  <c r="J26" i="21"/>
  <c r="J21" i="21"/>
  <c r="H32" i="21"/>
  <c r="J32" i="21"/>
  <c r="H33" i="21"/>
  <c r="J33" i="21"/>
  <c r="H34" i="21"/>
  <c r="J34" i="21"/>
  <c r="H35" i="21"/>
  <c r="J35" i="21"/>
  <c r="J28" i="21"/>
  <c r="H44" i="21"/>
  <c r="J44" i="21"/>
  <c r="H45" i="21"/>
  <c r="J45" i="21"/>
  <c r="H46" i="21"/>
  <c r="J46" i="21"/>
  <c r="J47" i="21"/>
  <c r="J43" i="21"/>
  <c r="J50" i="21"/>
  <c r="J51" i="21"/>
  <c r="J49" i="21"/>
  <c r="D14" i="21"/>
  <c r="H14" i="21"/>
  <c r="H64" i="21"/>
  <c r="J64" i="21"/>
  <c r="J14" i="21"/>
  <c r="J70" i="21"/>
  <c r="C248" i="32"/>
  <c r="C249" i="32"/>
  <c r="C250" i="32"/>
  <c r="C251" i="32"/>
  <c r="C252" i="32"/>
  <c r="C253" i="32"/>
  <c r="C254" i="32"/>
  <c r="C256" i="32"/>
  <c r="C257" i="32"/>
  <c r="C258" i="32"/>
  <c r="C259" i="32"/>
  <c r="C260" i="32"/>
  <c r="C261" i="32"/>
  <c r="C263" i="32"/>
  <c r="D248" i="32"/>
  <c r="D249" i="32"/>
  <c r="D250" i="32"/>
  <c r="D251" i="32"/>
  <c r="D252" i="32"/>
  <c r="D253" i="32"/>
  <c r="D254" i="32"/>
  <c r="D256" i="32"/>
  <c r="D257" i="32"/>
  <c r="D258" i="32"/>
  <c r="D259" i="32"/>
  <c r="D260" i="32"/>
  <c r="D261" i="32"/>
  <c r="D263" i="32"/>
  <c r="E248" i="32"/>
  <c r="E249" i="32"/>
  <c r="E250" i="32"/>
  <c r="E251" i="32"/>
  <c r="E252" i="32"/>
  <c r="E253" i="32"/>
  <c r="E254" i="32"/>
  <c r="E256" i="32"/>
  <c r="E257" i="32"/>
  <c r="E258" i="32"/>
  <c r="E259" i="32"/>
  <c r="E260" i="32"/>
  <c r="E261" i="32"/>
  <c r="E263" i="32"/>
  <c r="M88" i="32"/>
  <c r="M92" i="32"/>
  <c r="M95" i="32"/>
  <c r="M96" i="32"/>
  <c r="M101" i="32"/>
  <c r="M102" i="32"/>
  <c r="M87" i="32"/>
  <c r="H47" i="13"/>
  <c r="H50" i="13"/>
  <c r="L88" i="32"/>
  <c r="L89" i="32"/>
  <c r="L90" i="32"/>
  <c r="L91" i="32"/>
  <c r="L92" i="32"/>
  <c r="L93" i="32"/>
  <c r="L95" i="32"/>
  <c r="L96" i="32"/>
  <c r="L97" i="32"/>
  <c r="L98" i="32"/>
  <c r="L99" i="32"/>
  <c r="L101" i="32"/>
  <c r="L102" i="32"/>
  <c r="I87" i="32"/>
  <c r="I88" i="32"/>
  <c r="I89" i="32"/>
  <c r="I90" i="32"/>
  <c r="I91" i="32"/>
  <c r="I92" i="32"/>
  <c r="I93" i="32"/>
  <c r="I95" i="32"/>
  <c r="I96" i="32"/>
  <c r="I97" i="32"/>
  <c r="I98" i="32"/>
  <c r="I99" i="32"/>
  <c r="I101" i="32"/>
  <c r="I102" i="32"/>
  <c r="G87" i="32"/>
  <c r="G88" i="32"/>
  <c r="G89" i="32"/>
  <c r="G90" i="32"/>
  <c r="G91" i="32"/>
  <c r="G92" i="32"/>
  <c r="G93" i="32"/>
  <c r="G95" i="32"/>
  <c r="G96" i="32"/>
  <c r="G97" i="32"/>
  <c r="G98" i="32"/>
  <c r="G99" i="32"/>
  <c r="G101" i="32"/>
  <c r="G102" i="32"/>
  <c r="H19" i="13"/>
  <c r="J19" i="13"/>
  <c r="J18" i="13"/>
  <c r="H24" i="13"/>
  <c r="J24" i="13"/>
  <c r="H25" i="13"/>
  <c r="J25" i="13"/>
  <c r="H26" i="13"/>
  <c r="J26" i="13"/>
  <c r="H27" i="13"/>
  <c r="J27" i="13"/>
  <c r="J21" i="13"/>
  <c r="H33" i="13"/>
  <c r="J33" i="13"/>
  <c r="H34" i="13"/>
  <c r="J34" i="13"/>
  <c r="H35" i="13"/>
  <c r="J35" i="13"/>
  <c r="H36" i="13"/>
  <c r="J36" i="13"/>
  <c r="H37" i="13"/>
  <c r="J37" i="13"/>
  <c r="H38" i="13"/>
  <c r="J38" i="13"/>
  <c r="H39" i="13"/>
  <c r="J39" i="13"/>
  <c r="H40" i="13"/>
  <c r="J40" i="13"/>
  <c r="J29" i="13"/>
  <c r="H43" i="13"/>
  <c r="J43" i="13"/>
  <c r="J42" i="13"/>
  <c r="H53" i="13"/>
  <c r="J53" i="13"/>
  <c r="H54" i="13"/>
  <c r="J54" i="13"/>
  <c r="H55" i="13"/>
  <c r="J55" i="13"/>
  <c r="J52" i="13"/>
  <c r="H58" i="13"/>
  <c r="J58" i="13"/>
  <c r="J59" i="13"/>
  <c r="J57" i="13"/>
  <c r="H44" i="13"/>
  <c r="J44" i="13"/>
  <c r="H14" i="13"/>
  <c r="D74" i="13"/>
  <c r="H72" i="13"/>
  <c r="J72" i="13"/>
  <c r="J14" i="13"/>
  <c r="J78" i="13"/>
  <c r="C87" i="32"/>
  <c r="C88" i="32"/>
  <c r="C89" i="32"/>
  <c r="C90" i="32"/>
  <c r="C91" i="32"/>
  <c r="C92" i="32"/>
  <c r="C93" i="32"/>
  <c r="C95" i="32"/>
  <c r="C96" i="32"/>
  <c r="C97" i="32"/>
  <c r="C98" i="32"/>
  <c r="C99" i="32"/>
  <c r="C101" i="32"/>
  <c r="C102" i="32"/>
  <c r="D87" i="32"/>
  <c r="D88" i="32"/>
  <c r="D89" i="32"/>
  <c r="D90" i="32"/>
  <c r="D91" i="32"/>
  <c r="D92" i="32"/>
  <c r="D93" i="32"/>
  <c r="D95" i="32"/>
  <c r="D96" i="32"/>
  <c r="D97" i="32"/>
  <c r="D98" i="32"/>
  <c r="D99" i="32"/>
  <c r="D101" i="32"/>
  <c r="D102" i="32"/>
  <c r="E87" i="32"/>
  <c r="E88" i="32"/>
  <c r="E89" i="32"/>
  <c r="E90" i="32"/>
  <c r="E91" i="32"/>
  <c r="E92" i="32"/>
  <c r="E93" i="32"/>
  <c r="E95" i="32"/>
  <c r="E96" i="32"/>
  <c r="E97" i="32"/>
  <c r="E98" i="32"/>
  <c r="E99" i="32"/>
  <c r="E101" i="32"/>
  <c r="E102" i="32"/>
  <c r="M203" i="32"/>
  <c r="M208" i="32"/>
  <c r="M211" i="32"/>
  <c r="M213" i="32"/>
  <c r="M214" i="32"/>
  <c r="M217" i="32"/>
  <c r="M207" i="32"/>
  <c r="M202" i="32"/>
  <c r="H35" i="17"/>
  <c r="H38" i="17"/>
  <c r="L203" i="32"/>
  <c r="L204" i="32"/>
  <c r="L207" i="32"/>
  <c r="L208" i="32"/>
  <c r="L209" i="32"/>
  <c r="L211" i="32"/>
  <c r="L212" i="32"/>
  <c r="L213" i="32"/>
  <c r="L214" i="32"/>
  <c r="L216" i="32"/>
  <c r="L217" i="32"/>
  <c r="I202" i="32"/>
  <c r="I203" i="32"/>
  <c r="I204" i="32"/>
  <c r="I205" i="32"/>
  <c r="I206" i="32"/>
  <c r="I207" i="32"/>
  <c r="I208" i="32"/>
  <c r="I209" i="32"/>
  <c r="I211" i="32"/>
  <c r="I212" i="32"/>
  <c r="I213" i="32"/>
  <c r="I214" i="32"/>
  <c r="I216" i="32"/>
  <c r="I217" i="32"/>
  <c r="G202" i="32"/>
  <c r="G203" i="32"/>
  <c r="G204" i="32"/>
  <c r="G205" i="32"/>
  <c r="G206" i="32"/>
  <c r="G207" i="32"/>
  <c r="G208" i="32"/>
  <c r="G209" i="32"/>
  <c r="G211" i="32"/>
  <c r="G212" i="32"/>
  <c r="G213" i="32"/>
  <c r="G214" i="32"/>
  <c r="G216" i="32"/>
  <c r="G217" i="32"/>
  <c r="J39" i="17"/>
  <c r="H18" i="17"/>
  <c r="J18" i="17"/>
  <c r="J17" i="17"/>
  <c r="H27" i="17"/>
  <c r="J27" i="17"/>
  <c r="H28" i="17"/>
  <c r="J28" i="17"/>
  <c r="H29" i="17"/>
  <c r="J29" i="17"/>
  <c r="H30" i="17"/>
  <c r="J30" i="17"/>
  <c r="H31" i="17"/>
  <c r="J31" i="17"/>
  <c r="J32" i="17"/>
  <c r="J23" i="17"/>
  <c r="H42" i="17"/>
  <c r="J42" i="17"/>
  <c r="H43" i="17"/>
  <c r="J43" i="17"/>
  <c r="J44" i="17"/>
  <c r="J41" i="17"/>
  <c r="J21" i="17"/>
  <c r="J20" i="17"/>
  <c r="J47" i="17"/>
  <c r="J48" i="17"/>
  <c r="J46" i="17"/>
  <c r="D13" i="17"/>
  <c r="H13" i="17"/>
  <c r="H62" i="17"/>
  <c r="J62" i="17"/>
  <c r="J13" i="17"/>
  <c r="J68" i="17"/>
  <c r="C202" i="32"/>
  <c r="C203" i="32"/>
  <c r="C204" i="32"/>
  <c r="C205" i="32"/>
  <c r="C206" i="32"/>
  <c r="C207" i="32"/>
  <c r="C208" i="32"/>
  <c r="C209" i="32"/>
  <c r="C211" i="32"/>
  <c r="C212" i="32"/>
  <c r="C213" i="32"/>
  <c r="C214" i="32"/>
  <c r="C216" i="32"/>
  <c r="C217" i="32"/>
  <c r="D202" i="32"/>
  <c r="D203" i="32"/>
  <c r="D204" i="32"/>
  <c r="D205" i="32"/>
  <c r="D206" i="32"/>
  <c r="D207" i="32"/>
  <c r="D208" i="32"/>
  <c r="D209" i="32"/>
  <c r="D211" i="32"/>
  <c r="D212" i="32"/>
  <c r="D213" i="32"/>
  <c r="D214" i="32"/>
  <c r="D216" i="32"/>
  <c r="D217" i="32"/>
  <c r="E202" i="32"/>
  <c r="E203" i="32"/>
  <c r="E204" i="32"/>
  <c r="E205" i="32"/>
  <c r="E206" i="32"/>
  <c r="E207" i="32"/>
  <c r="E208" i="32"/>
  <c r="E209" i="32"/>
  <c r="E211" i="32"/>
  <c r="E212" i="32"/>
  <c r="E213" i="32"/>
  <c r="E214" i="32"/>
  <c r="E216" i="32"/>
  <c r="E217" i="32"/>
  <c r="J61" i="17"/>
  <c r="M226" i="32"/>
  <c r="M230" i="32"/>
  <c r="M231" i="32"/>
  <c r="M233" i="32"/>
  <c r="M240" i="32"/>
  <c r="M225" i="32"/>
  <c r="H38" i="19"/>
  <c r="H41" i="19"/>
  <c r="L226" i="32"/>
  <c r="L227" i="32"/>
  <c r="L229" i="32"/>
  <c r="L230" i="32"/>
  <c r="L231" i="32"/>
  <c r="L233" i="32"/>
  <c r="L234" i="32"/>
  <c r="L235" i="32"/>
  <c r="L236" i="32"/>
  <c r="L239" i="32"/>
  <c r="L240" i="32"/>
  <c r="I225" i="32"/>
  <c r="I226" i="32"/>
  <c r="I227" i="32"/>
  <c r="I228" i="32"/>
  <c r="I229" i="32"/>
  <c r="I230" i="32"/>
  <c r="I231" i="32"/>
  <c r="I233" i="32"/>
  <c r="I234" i="32"/>
  <c r="I235" i="32"/>
  <c r="I236" i="32"/>
  <c r="I237" i="32"/>
  <c r="I239" i="32"/>
  <c r="I240" i="32"/>
  <c r="G225" i="32"/>
  <c r="G226" i="32"/>
  <c r="G227" i="32"/>
  <c r="G228" i="32"/>
  <c r="G229" i="32"/>
  <c r="G230" i="32"/>
  <c r="G231" i="32"/>
  <c r="G233" i="32"/>
  <c r="G234" i="32"/>
  <c r="G235" i="32"/>
  <c r="G236" i="32"/>
  <c r="G237" i="32"/>
  <c r="G239" i="32"/>
  <c r="G240" i="32"/>
  <c r="J42" i="19"/>
  <c r="H18" i="19"/>
  <c r="J18" i="19"/>
  <c r="J17" i="19"/>
  <c r="H27" i="19"/>
  <c r="J27" i="19"/>
  <c r="H28" i="19"/>
  <c r="J28" i="19"/>
  <c r="H29" i="19"/>
  <c r="J29" i="19"/>
  <c r="H30" i="19"/>
  <c r="J30" i="19"/>
  <c r="J31" i="19"/>
  <c r="J23" i="19"/>
  <c r="H34" i="19"/>
  <c r="J34" i="19"/>
  <c r="J35" i="19"/>
  <c r="J33" i="19"/>
  <c r="H45" i="19"/>
  <c r="J45" i="19"/>
  <c r="H46" i="19"/>
  <c r="J46" i="19"/>
  <c r="J47" i="19"/>
  <c r="J44" i="19"/>
  <c r="J21" i="19"/>
  <c r="J20" i="19"/>
  <c r="J50" i="19"/>
  <c r="J51" i="19"/>
  <c r="J49" i="19"/>
  <c r="D13" i="19"/>
  <c r="H13" i="19"/>
  <c r="H64" i="19"/>
  <c r="J64" i="19"/>
  <c r="J69" i="19"/>
  <c r="J13" i="19"/>
  <c r="J71" i="19"/>
  <c r="C225" i="32"/>
  <c r="C226" i="32"/>
  <c r="C227" i="32"/>
  <c r="C228" i="32"/>
  <c r="C229" i="32"/>
  <c r="C230" i="32"/>
  <c r="C231" i="32"/>
  <c r="C233" i="32"/>
  <c r="C234" i="32"/>
  <c r="C235" i="32"/>
  <c r="C236" i="32"/>
  <c r="C237" i="32"/>
  <c r="C239" i="32"/>
  <c r="C240" i="32"/>
  <c r="D225" i="32"/>
  <c r="D226" i="32"/>
  <c r="D227" i="32"/>
  <c r="D228" i="32"/>
  <c r="D229" i="32"/>
  <c r="D230" i="32"/>
  <c r="D231" i="32"/>
  <c r="D233" i="32"/>
  <c r="D234" i="32"/>
  <c r="D235" i="32"/>
  <c r="D236" i="32"/>
  <c r="D237" i="32"/>
  <c r="D239" i="32"/>
  <c r="D240" i="32"/>
  <c r="E225" i="32"/>
  <c r="E226" i="32"/>
  <c r="E227" i="32"/>
  <c r="E228" i="32"/>
  <c r="E229" i="32"/>
  <c r="E230" i="32"/>
  <c r="E231" i="32"/>
  <c r="E233" i="32"/>
  <c r="E234" i="32"/>
  <c r="E235" i="32"/>
  <c r="E236" i="32"/>
  <c r="E237" i="32"/>
  <c r="E239" i="32"/>
  <c r="E240" i="32"/>
  <c r="C26" i="25"/>
  <c r="C24" i="25"/>
  <c r="C22" i="25"/>
  <c r="C19" i="25"/>
  <c r="C18" i="25"/>
  <c r="M157" i="32"/>
  <c r="M161" i="32"/>
  <c r="M164" i="32"/>
  <c r="M166" i="32"/>
  <c r="M167" i="32"/>
  <c r="M171" i="32"/>
  <c r="M156" i="32"/>
  <c r="H38" i="15"/>
  <c r="H41" i="15"/>
  <c r="L157" i="32"/>
  <c r="L158" i="32"/>
  <c r="L159" i="32"/>
  <c r="L160" i="32"/>
  <c r="L161" i="32"/>
  <c r="L162" i="32"/>
  <c r="L164" i="32"/>
  <c r="L165" i="32"/>
  <c r="L166" i="32"/>
  <c r="L167" i="32"/>
  <c r="L168" i="32"/>
  <c r="L170" i="32"/>
  <c r="L171" i="32"/>
  <c r="I156" i="32"/>
  <c r="I157" i="32"/>
  <c r="I158" i="32"/>
  <c r="I159" i="32"/>
  <c r="I160" i="32"/>
  <c r="I161" i="32"/>
  <c r="I162" i="32"/>
  <c r="I164" i="32"/>
  <c r="I165" i="32"/>
  <c r="I166" i="32"/>
  <c r="I167" i="32"/>
  <c r="I168" i="32"/>
  <c r="I170" i="32"/>
  <c r="I171" i="32"/>
  <c r="G156" i="32"/>
  <c r="G157" i="32"/>
  <c r="G158" i="32"/>
  <c r="G159" i="32"/>
  <c r="G160" i="32"/>
  <c r="G161" i="32"/>
  <c r="G162" i="32"/>
  <c r="G164" i="32"/>
  <c r="G165" i="32"/>
  <c r="G166" i="32"/>
  <c r="G167" i="32"/>
  <c r="G168" i="32"/>
  <c r="G170" i="32"/>
  <c r="G171" i="32"/>
  <c r="J42" i="15"/>
  <c r="H19" i="15"/>
  <c r="J19" i="15"/>
  <c r="J18" i="15"/>
  <c r="H29" i="15"/>
  <c r="J29" i="15"/>
  <c r="H30" i="15"/>
  <c r="J30" i="15"/>
  <c r="H32" i="15"/>
  <c r="J32" i="15"/>
  <c r="H33" i="15"/>
  <c r="J33" i="15"/>
  <c r="H34" i="15"/>
  <c r="J34" i="15"/>
  <c r="J31" i="15"/>
  <c r="J35" i="15"/>
  <c r="J25" i="15"/>
  <c r="H45" i="15"/>
  <c r="J45" i="15"/>
  <c r="H46" i="15"/>
  <c r="J46" i="15"/>
  <c r="J47" i="15"/>
  <c r="J44" i="15"/>
  <c r="J22" i="15"/>
  <c r="J23" i="15"/>
  <c r="J21" i="15"/>
  <c r="J50" i="15"/>
  <c r="J51" i="15"/>
  <c r="J49" i="15"/>
  <c r="D14" i="15"/>
  <c r="H14" i="15"/>
  <c r="H64" i="15"/>
  <c r="J64" i="15"/>
  <c r="J14" i="15"/>
  <c r="J70" i="15"/>
  <c r="C156" i="32"/>
  <c r="C157" i="32"/>
  <c r="C158" i="32"/>
  <c r="C159" i="32"/>
  <c r="C160" i="32"/>
  <c r="C161" i="32"/>
  <c r="C162" i="32"/>
  <c r="C164" i="32"/>
  <c r="C165" i="32"/>
  <c r="C166" i="32"/>
  <c r="C167" i="32"/>
  <c r="C168" i="32"/>
  <c r="C170" i="32"/>
  <c r="C171" i="32"/>
  <c r="D156" i="32"/>
  <c r="D157" i="32"/>
  <c r="D158" i="32"/>
  <c r="D159" i="32"/>
  <c r="D160" i="32"/>
  <c r="D161" i="32"/>
  <c r="D162" i="32"/>
  <c r="D164" i="32"/>
  <c r="D165" i="32"/>
  <c r="D166" i="32"/>
  <c r="D167" i="32"/>
  <c r="D168" i="32"/>
  <c r="D170" i="32"/>
  <c r="D171" i="32"/>
  <c r="E156" i="32"/>
  <c r="E157" i="32"/>
  <c r="E158" i="32"/>
  <c r="E159" i="32"/>
  <c r="E160" i="32"/>
  <c r="E161" i="32"/>
  <c r="E162" i="32"/>
  <c r="E164" i="32"/>
  <c r="E165" i="32"/>
  <c r="E166" i="32"/>
  <c r="E167" i="32"/>
  <c r="E168" i="32"/>
  <c r="E170" i="32"/>
  <c r="E171" i="32"/>
  <c r="C17" i="25"/>
  <c r="K15" i="24"/>
  <c r="K17" i="24"/>
  <c r="K23" i="24"/>
  <c r="G7" i="54"/>
  <c r="K37" i="24"/>
  <c r="K16" i="24"/>
  <c r="K18" i="24"/>
  <c r="G23" i="54"/>
  <c r="K36" i="24"/>
  <c r="F15" i="24"/>
  <c r="F17" i="24"/>
  <c r="F23" i="24"/>
  <c r="F16" i="24"/>
  <c r="F18" i="24"/>
  <c r="B23" i="54"/>
  <c r="I18" i="24"/>
  <c r="B7" i="54"/>
  <c r="F37" i="24"/>
  <c r="F36" i="24"/>
  <c r="F19" i="24"/>
  <c r="B28" i="54"/>
  <c r="K19" i="24"/>
  <c r="K24" i="24"/>
  <c r="G29" i="54"/>
  <c r="G28" i="54"/>
  <c r="K22" i="24"/>
  <c r="G27" i="54"/>
  <c r="K20" i="24"/>
  <c r="G26" i="54"/>
  <c r="G25" i="54"/>
  <c r="G24" i="54"/>
  <c r="G22" i="54"/>
  <c r="G21" i="54"/>
  <c r="G20" i="54"/>
  <c r="G19" i="54"/>
  <c r="G18" i="54"/>
  <c r="G15" i="54"/>
  <c r="G12" i="54"/>
  <c r="G9" i="54"/>
  <c r="F24" i="24"/>
  <c r="B29" i="54"/>
  <c r="F22" i="24"/>
  <c r="B27" i="54"/>
  <c r="F20" i="24"/>
  <c r="B26" i="54"/>
  <c r="B25" i="54"/>
  <c r="B24" i="54"/>
  <c r="B22" i="54"/>
  <c r="B21" i="54"/>
  <c r="B20" i="54"/>
  <c r="B19" i="54"/>
  <c r="B18" i="54"/>
  <c r="B13" i="54"/>
  <c r="J6" i="32"/>
  <c r="J65" i="32" s="1"/>
  <c r="F6" i="32"/>
  <c r="F87" i="32" s="1"/>
  <c r="J22" i="32"/>
  <c r="J88" i="32" s="1"/>
  <c r="F22" i="32"/>
  <c r="F66" i="32" s="1"/>
  <c r="J7" i="32"/>
  <c r="J67" i="32" s="1"/>
  <c r="F7" i="32"/>
  <c r="F112" i="32" s="1"/>
  <c r="J9" i="32"/>
  <c r="J68" i="32" s="1"/>
  <c r="F9" i="32"/>
  <c r="F136" i="32" s="1"/>
  <c r="J10" i="32"/>
  <c r="J69" i="32" s="1"/>
  <c r="F10" i="32"/>
  <c r="F252" i="32" s="1"/>
  <c r="J11" i="32"/>
  <c r="J70" i="32" s="1"/>
  <c r="F11" i="32"/>
  <c r="J13" i="32"/>
  <c r="J93" i="32" s="1"/>
  <c r="F13" i="32"/>
  <c r="F116" i="32" s="1"/>
  <c r="J16" i="32"/>
  <c r="J73" i="32" s="1"/>
  <c r="F16" i="32"/>
  <c r="F73" i="32" s="1"/>
  <c r="J20" i="32"/>
  <c r="J121" i="32" s="1"/>
  <c r="F20" i="32"/>
  <c r="F121" i="32" s="1"/>
  <c r="J12" i="32"/>
  <c r="J75" i="32" s="1"/>
  <c r="F12" i="32"/>
  <c r="F75" i="32" s="1"/>
  <c r="J17" i="32"/>
  <c r="J54" i="32" s="1"/>
  <c r="F17" i="32"/>
  <c r="F76" i="32" s="1"/>
  <c r="F18" i="32"/>
  <c r="F55" i="32" s="1"/>
  <c r="J18" i="32"/>
  <c r="J8" i="32"/>
  <c r="J122" i="32" s="1"/>
  <c r="F8" i="32"/>
  <c r="F191" i="32" s="1"/>
  <c r="J21" i="32"/>
  <c r="J80" i="32" s="1"/>
  <c r="F21" i="32"/>
  <c r="F102" i="32" s="1"/>
  <c r="K65" i="32"/>
  <c r="K66" i="32"/>
  <c r="K67" i="32"/>
  <c r="K68" i="32"/>
  <c r="K69" i="32"/>
  <c r="K70" i="32"/>
  <c r="K71" i="32"/>
  <c r="K73" i="32"/>
  <c r="K74" i="32"/>
  <c r="K75" i="32"/>
  <c r="K76" i="32"/>
  <c r="K77" i="32"/>
  <c r="K78" i="32"/>
  <c r="K80" i="32"/>
  <c r="J66" i="32"/>
  <c r="H65" i="32"/>
  <c r="H66" i="32"/>
  <c r="H67" i="32"/>
  <c r="H68" i="32"/>
  <c r="H69" i="32"/>
  <c r="H70" i="32"/>
  <c r="H71" i="32"/>
  <c r="H73" i="32"/>
  <c r="H74" i="32"/>
  <c r="H75" i="32"/>
  <c r="H76" i="32"/>
  <c r="H77" i="32"/>
  <c r="H78" i="32"/>
  <c r="H80" i="32"/>
  <c r="F77" i="32"/>
  <c r="F104" i="58"/>
  <c r="H104" i="58"/>
  <c r="D104" i="58"/>
  <c r="F93" i="58"/>
  <c r="H93" i="58"/>
  <c r="D93" i="58"/>
  <c r="D71" i="58"/>
  <c r="M16" i="25"/>
  <c r="M184" i="32"/>
  <c r="M185" i="32"/>
  <c r="F14" i="32"/>
  <c r="F170" i="32" s="1"/>
  <c r="J14" i="32"/>
  <c r="J263" i="32" s="1"/>
  <c r="F15" i="32"/>
  <c r="F143" i="32" s="1"/>
  <c r="J15" i="32"/>
  <c r="J234" i="32" s="1"/>
  <c r="F19" i="32"/>
  <c r="F167" i="32" s="1"/>
  <c r="J19" i="32"/>
  <c r="J214" i="32" s="1"/>
  <c r="C23" i="32"/>
  <c r="D23" i="32"/>
  <c r="E23" i="32"/>
  <c r="G23" i="32"/>
  <c r="H23" i="32"/>
  <c r="I23" i="32"/>
  <c r="K23" i="32"/>
  <c r="H43" i="32"/>
  <c r="J43" i="32"/>
  <c r="K43" i="32"/>
  <c r="H44" i="32"/>
  <c r="K44" i="32"/>
  <c r="H45" i="32"/>
  <c r="K45" i="32"/>
  <c r="H46" i="32"/>
  <c r="K46" i="32"/>
  <c r="H47" i="32"/>
  <c r="K47" i="32"/>
  <c r="H48" i="32"/>
  <c r="K48" i="32"/>
  <c r="H49" i="32"/>
  <c r="K49" i="32"/>
  <c r="H51" i="32"/>
  <c r="K51" i="32"/>
  <c r="H52" i="32"/>
  <c r="K52" i="32"/>
  <c r="H53" i="32"/>
  <c r="K53" i="32"/>
  <c r="H54" i="32"/>
  <c r="K54" i="32"/>
  <c r="H55" i="32"/>
  <c r="K55" i="32"/>
  <c r="H56" i="32"/>
  <c r="K56" i="32"/>
  <c r="H58" i="32"/>
  <c r="K58" i="32"/>
  <c r="H87" i="32"/>
  <c r="K87" i="32"/>
  <c r="H88" i="32"/>
  <c r="K88" i="32"/>
  <c r="H89" i="32"/>
  <c r="J89" i="32"/>
  <c r="K89" i="32"/>
  <c r="H90" i="32"/>
  <c r="K90" i="32"/>
  <c r="H91" i="32"/>
  <c r="K91" i="32"/>
  <c r="H92" i="32"/>
  <c r="K92" i="32"/>
  <c r="H93" i="32"/>
  <c r="K93" i="32"/>
  <c r="H95" i="32"/>
  <c r="K95" i="32"/>
  <c r="H96" i="32"/>
  <c r="K96" i="32"/>
  <c r="H97" i="32"/>
  <c r="K97" i="32"/>
  <c r="H98" i="32"/>
  <c r="K98" i="32"/>
  <c r="H99" i="32"/>
  <c r="K99" i="32"/>
  <c r="H101" i="32"/>
  <c r="K101" i="32"/>
  <c r="H102" i="32"/>
  <c r="K102" i="32"/>
  <c r="G110" i="32"/>
  <c r="H110" i="32"/>
  <c r="I110" i="32"/>
  <c r="K110" i="32"/>
  <c r="M110" i="32"/>
  <c r="G111" i="32"/>
  <c r="H111" i="32"/>
  <c r="I111" i="32"/>
  <c r="K111" i="32"/>
  <c r="L111" i="32"/>
  <c r="G112" i="32"/>
  <c r="H112" i="32"/>
  <c r="I112" i="32"/>
  <c r="K112" i="32"/>
  <c r="G113" i="32"/>
  <c r="H113" i="32"/>
  <c r="I113" i="32"/>
  <c r="K113" i="32"/>
  <c r="G114" i="32"/>
  <c r="H114" i="32"/>
  <c r="I114" i="32"/>
  <c r="K114" i="32"/>
  <c r="L114" i="32"/>
  <c r="G115" i="32"/>
  <c r="H115" i="32"/>
  <c r="I115" i="32"/>
  <c r="K115" i="32"/>
  <c r="L115" i="32"/>
  <c r="G116" i="32"/>
  <c r="H116" i="32"/>
  <c r="I116" i="32"/>
  <c r="K116" i="32"/>
  <c r="L116" i="32"/>
  <c r="G118" i="32"/>
  <c r="H118" i="32"/>
  <c r="I118" i="32"/>
  <c r="K118" i="32"/>
  <c r="L118" i="32"/>
  <c r="G119" i="32"/>
  <c r="H119" i="32"/>
  <c r="I119" i="32"/>
  <c r="K119" i="32"/>
  <c r="L119" i="32"/>
  <c r="G120" i="32"/>
  <c r="H120" i="32"/>
  <c r="I120" i="32"/>
  <c r="K120" i="32"/>
  <c r="L120" i="32"/>
  <c r="G121" i="32"/>
  <c r="H121" i="32"/>
  <c r="I121" i="32"/>
  <c r="K121" i="32"/>
  <c r="L121" i="32"/>
  <c r="G122" i="32"/>
  <c r="H122" i="32"/>
  <c r="I122" i="32"/>
  <c r="K122" i="32"/>
  <c r="G124" i="32"/>
  <c r="H124" i="32"/>
  <c r="I124" i="32"/>
  <c r="K124" i="32"/>
  <c r="L124" i="32"/>
  <c r="G125" i="32"/>
  <c r="H125" i="32"/>
  <c r="I125" i="32"/>
  <c r="K125" i="32"/>
  <c r="L125" i="32"/>
  <c r="H133" i="32"/>
  <c r="K133" i="32"/>
  <c r="H134" i="32"/>
  <c r="K134" i="32"/>
  <c r="H135" i="32"/>
  <c r="K135" i="32"/>
  <c r="H136" i="32"/>
  <c r="K136" i="32"/>
  <c r="H137" i="32"/>
  <c r="J137" i="32"/>
  <c r="K137" i="32"/>
  <c r="H138" i="32"/>
  <c r="K138" i="32"/>
  <c r="H139" i="32"/>
  <c r="K139" i="32"/>
  <c r="H141" i="32"/>
  <c r="K141" i="32"/>
  <c r="H142" i="32"/>
  <c r="J142" i="32"/>
  <c r="K142" i="32"/>
  <c r="H143" i="32"/>
  <c r="K143" i="32"/>
  <c r="H144" i="32"/>
  <c r="K144" i="32"/>
  <c r="H145" i="32"/>
  <c r="K145" i="32"/>
  <c r="H147" i="32"/>
  <c r="K147" i="32"/>
  <c r="H148" i="32"/>
  <c r="K148" i="32"/>
  <c r="H156" i="32"/>
  <c r="K156" i="32"/>
  <c r="H157" i="32"/>
  <c r="K157" i="32"/>
  <c r="H158" i="32"/>
  <c r="K158" i="32"/>
  <c r="H159" i="32"/>
  <c r="K159" i="32"/>
  <c r="H160" i="32"/>
  <c r="J160" i="32"/>
  <c r="K160" i="32"/>
  <c r="H161" i="32"/>
  <c r="K161" i="32"/>
  <c r="H162" i="32"/>
  <c r="K162" i="32"/>
  <c r="H164" i="32"/>
  <c r="K164" i="32"/>
  <c r="H165" i="32"/>
  <c r="K165" i="32"/>
  <c r="H166" i="32"/>
  <c r="K166" i="32"/>
  <c r="H167" i="32"/>
  <c r="K167" i="32"/>
  <c r="H168" i="32"/>
  <c r="K168" i="32"/>
  <c r="H170" i="32"/>
  <c r="K170" i="32"/>
  <c r="H171" i="32"/>
  <c r="K171" i="32"/>
  <c r="C179" i="32"/>
  <c r="D179" i="32"/>
  <c r="E179" i="32"/>
  <c r="G179" i="32"/>
  <c r="H179" i="32"/>
  <c r="I179" i="32"/>
  <c r="K179" i="32"/>
  <c r="M179" i="32"/>
  <c r="C180" i="32"/>
  <c r="D180" i="32"/>
  <c r="E180" i="32"/>
  <c r="F180" i="32"/>
  <c r="G180" i="32"/>
  <c r="H180" i="32"/>
  <c r="I180" i="32"/>
  <c r="K180" i="32"/>
  <c r="L180" i="32"/>
  <c r="C181" i="32"/>
  <c r="D181" i="32"/>
  <c r="E181" i="32"/>
  <c r="G181" i="32"/>
  <c r="H181" i="32"/>
  <c r="I181" i="32"/>
  <c r="K181" i="32"/>
  <c r="C182" i="32"/>
  <c r="D182" i="32"/>
  <c r="E182" i="32"/>
  <c r="G182" i="32"/>
  <c r="H182" i="32"/>
  <c r="I182" i="32"/>
  <c r="K182" i="32"/>
  <c r="C183" i="32"/>
  <c r="D183" i="32"/>
  <c r="E183" i="32"/>
  <c r="G183" i="32"/>
  <c r="H183" i="32"/>
  <c r="I183" i="32"/>
  <c r="K183" i="32"/>
  <c r="L183" i="32"/>
  <c r="C184" i="32"/>
  <c r="D184" i="32"/>
  <c r="E184" i="32"/>
  <c r="G184" i="32"/>
  <c r="H184" i="32"/>
  <c r="I184" i="32"/>
  <c r="K184" i="32"/>
  <c r="L184" i="32"/>
  <c r="C185" i="32"/>
  <c r="D185" i="32"/>
  <c r="E185" i="32"/>
  <c r="G185" i="32"/>
  <c r="H185" i="32"/>
  <c r="I185" i="32"/>
  <c r="K185" i="32"/>
  <c r="L185" i="32"/>
  <c r="B187" i="32"/>
  <c r="C187" i="32"/>
  <c r="D187" i="32"/>
  <c r="E187" i="32"/>
  <c r="G187" i="32"/>
  <c r="H187" i="32"/>
  <c r="I187" i="32"/>
  <c r="K187" i="32"/>
  <c r="L187" i="32"/>
  <c r="C188" i="32"/>
  <c r="D188" i="32"/>
  <c r="E188" i="32"/>
  <c r="G188" i="32"/>
  <c r="H188" i="32"/>
  <c r="I188" i="32"/>
  <c r="J188" i="32"/>
  <c r="K188" i="32"/>
  <c r="L188" i="32"/>
  <c r="C189" i="32"/>
  <c r="D189" i="32"/>
  <c r="E189" i="32"/>
  <c r="G189" i="32"/>
  <c r="H189" i="32"/>
  <c r="I189" i="32"/>
  <c r="J189" i="32"/>
  <c r="K189" i="32"/>
  <c r="L189" i="32"/>
  <c r="C190" i="32"/>
  <c r="D190" i="32"/>
  <c r="E190" i="32"/>
  <c r="F190" i="32"/>
  <c r="G190" i="32"/>
  <c r="H190" i="32"/>
  <c r="I190" i="32"/>
  <c r="K190" i="32"/>
  <c r="L190" i="32"/>
  <c r="C191" i="32"/>
  <c r="D191" i="32"/>
  <c r="E191" i="32"/>
  <c r="G191" i="32"/>
  <c r="H191" i="32"/>
  <c r="I191" i="32"/>
  <c r="K191" i="32"/>
  <c r="C193" i="32"/>
  <c r="D193" i="32"/>
  <c r="E193" i="32"/>
  <c r="F193" i="32"/>
  <c r="G193" i="32"/>
  <c r="H193" i="32"/>
  <c r="I193" i="32"/>
  <c r="K193" i="32"/>
  <c r="L193" i="32"/>
  <c r="C194" i="32"/>
  <c r="D194" i="32"/>
  <c r="E194" i="32"/>
  <c r="G194" i="32"/>
  <c r="H194" i="32"/>
  <c r="I194" i="32"/>
  <c r="K194" i="32"/>
  <c r="L194" i="32"/>
  <c r="C195" i="32"/>
  <c r="D195" i="32"/>
  <c r="E195" i="32"/>
  <c r="G195" i="32"/>
  <c r="H195" i="32"/>
  <c r="I195" i="32"/>
  <c r="K195" i="32"/>
  <c r="L195" i="32"/>
  <c r="H202" i="32"/>
  <c r="K202" i="32"/>
  <c r="F203" i="32"/>
  <c r="H203" i="32"/>
  <c r="K203" i="32"/>
  <c r="H204" i="32"/>
  <c r="K204" i="32"/>
  <c r="H205" i="32"/>
  <c r="K205" i="32"/>
  <c r="H206" i="32"/>
  <c r="K206" i="32"/>
  <c r="H207" i="32"/>
  <c r="K207" i="32"/>
  <c r="H208" i="32"/>
  <c r="K208" i="32"/>
  <c r="H209" i="32"/>
  <c r="K209" i="32"/>
  <c r="F211" i="32"/>
  <c r="H211" i="32"/>
  <c r="K211" i="32"/>
  <c r="H212" i="32"/>
  <c r="J212" i="32"/>
  <c r="K212" i="32"/>
  <c r="H213" i="32"/>
  <c r="J213" i="32"/>
  <c r="K213" i="32"/>
  <c r="H214" i="32"/>
  <c r="K214" i="32"/>
  <c r="F216" i="32"/>
  <c r="H216" i="32"/>
  <c r="K216" i="32"/>
  <c r="H217" i="32"/>
  <c r="K217" i="32"/>
  <c r="H225" i="32"/>
  <c r="K225" i="32"/>
  <c r="F226" i="32"/>
  <c r="H226" i="32"/>
  <c r="K226" i="32"/>
  <c r="H227" i="32"/>
  <c r="J227" i="32"/>
  <c r="K227" i="32"/>
  <c r="H228" i="32"/>
  <c r="K228" i="32"/>
  <c r="H229" i="32"/>
  <c r="K229" i="32"/>
  <c r="H230" i="32"/>
  <c r="K230" i="32"/>
  <c r="H231" i="32"/>
  <c r="K231" i="32"/>
  <c r="F233" i="32"/>
  <c r="H233" i="32"/>
  <c r="K233" i="32"/>
  <c r="H234" i="32"/>
  <c r="K234" i="32"/>
  <c r="H235" i="32"/>
  <c r="J235" i="32"/>
  <c r="K235" i="32"/>
  <c r="H236" i="32"/>
  <c r="K236" i="32"/>
  <c r="H237" i="32"/>
  <c r="K237" i="32"/>
  <c r="F239" i="32"/>
  <c r="H239" i="32"/>
  <c r="K239" i="32"/>
  <c r="H240" i="32"/>
  <c r="K240" i="32"/>
  <c r="H248" i="32"/>
  <c r="K248" i="32"/>
  <c r="F249" i="32"/>
  <c r="H249" i="32"/>
  <c r="K249" i="32"/>
  <c r="H250" i="32"/>
  <c r="K250" i="32"/>
  <c r="F251" i="32"/>
  <c r="H251" i="32"/>
  <c r="K251" i="32"/>
  <c r="H252" i="32"/>
  <c r="K252" i="32"/>
  <c r="H253" i="32"/>
  <c r="K253" i="32"/>
  <c r="H254" i="32"/>
  <c r="K254" i="32"/>
  <c r="F256" i="32"/>
  <c r="H256" i="32"/>
  <c r="K256" i="32"/>
  <c r="H257" i="32"/>
  <c r="J257" i="32"/>
  <c r="K257" i="32"/>
  <c r="H258" i="32"/>
  <c r="J258" i="32"/>
  <c r="K258" i="32"/>
  <c r="H259" i="32"/>
  <c r="K259" i="32"/>
  <c r="H260" i="32"/>
  <c r="K260" i="32"/>
  <c r="H261" i="32"/>
  <c r="J261" i="32"/>
  <c r="K261" i="32"/>
  <c r="F263" i="32"/>
  <c r="H263" i="32"/>
  <c r="K263" i="32"/>
  <c r="F99" i="21"/>
  <c r="F89" i="19"/>
  <c r="F100" i="19"/>
  <c r="D100" i="19"/>
  <c r="F87" i="17"/>
  <c r="F98" i="17"/>
  <c r="D14" i="49"/>
  <c r="H14" i="49"/>
  <c r="F100" i="49"/>
  <c r="H19" i="49"/>
  <c r="J19" i="49"/>
  <c r="J18" i="49"/>
  <c r="J22" i="49"/>
  <c r="J23" i="49"/>
  <c r="J21" i="49"/>
  <c r="H30" i="49"/>
  <c r="J30" i="49"/>
  <c r="H31" i="49"/>
  <c r="J31" i="49"/>
  <c r="J32" i="49"/>
  <c r="H33" i="49"/>
  <c r="J33" i="49"/>
  <c r="H34" i="49"/>
  <c r="J34" i="49"/>
  <c r="H35" i="49"/>
  <c r="J35" i="49"/>
  <c r="H36" i="49"/>
  <c r="J36" i="49"/>
  <c r="H39" i="49"/>
  <c r="H42" i="49"/>
  <c r="J43" i="49"/>
  <c r="H46" i="49"/>
  <c r="J46" i="49"/>
  <c r="J47" i="49"/>
  <c r="J45" i="49"/>
  <c r="J50" i="49"/>
  <c r="J51" i="49"/>
  <c r="J64" i="49"/>
  <c r="F99" i="15"/>
  <c r="H99" i="15"/>
  <c r="D66" i="27"/>
  <c r="F87" i="27"/>
  <c r="D87" i="27"/>
  <c r="F98" i="10"/>
  <c r="D76" i="10"/>
  <c r="D75" i="13"/>
  <c r="F97" i="13"/>
  <c r="D97" i="13"/>
  <c r="H97" i="13"/>
  <c r="F92" i="2"/>
  <c r="D92" i="2"/>
  <c r="F103" i="2"/>
  <c r="D103" i="2"/>
  <c r="D70" i="2"/>
  <c r="M12" i="25"/>
  <c r="M14" i="25"/>
  <c r="M15" i="25"/>
  <c r="B15" i="54"/>
  <c r="F21" i="24"/>
  <c r="F98" i="27"/>
  <c r="D98" i="27"/>
  <c r="J134" i="32"/>
  <c r="J55" i="32"/>
  <c r="F51" i="32"/>
  <c r="F147" i="32"/>
  <c r="F125" i="32"/>
  <c r="F101" i="32"/>
  <c r="F240" i="32"/>
  <c r="F217" i="32"/>
  <c r="L181" i="32"/>
  <c r="F171" i="32"/>
  <c r="F58" i="32"/>
  <c r="F195" i="32"/>
  <c r="F148" i="32"/>
  <c r="F124" i="32"/>
  <c r="F194" i="32"/>
  <c r="F206" i="32"/>
  <c r="F46" i="32"/>
  <c r="L112" i="32"/>
  <c r="D98" i="17"/>
  <c r="H98" i="17"/>
  <c r="J49" i="49"/>
  <c r="H87" i="27"/>
  <c r="F108" i="13"/>
  <c r="H108" i="13"/>
  <c r="D99" i="15"/>
  <c r="F109" i="10"/>
  <c r="H109" i="10"/>
  <c r="H98" i="27"/>
  <c r="J14" i="49"/>
  <c r="J71" i="49"/>
  <c r="H103" i="2"/>
  <c r="B11" i="54"/>
  <c r="B14" i="54"/>
  <c r="H100" i="49"/>
  <c r="D100" i="49"/>
  <c r="F89" i="49"/>
  <c r="H92" i="2"/>
  <c r="M194" i="32"/>
  <c r="B12" i="54"/>
  <c r="B9" i="54"/>
  <c r="B10" i="54"/>
  <c r="B16" i="54"/>
  <c r="B6" i="54"/>
  <c r="D87" i="17"/>
  <c r="H87" i="17"/>
  <c r="B17" i="54"/>
  <c r="D99" i="21"/>
  <c r="H99" i="21"/>
  <c r="D98" i="10"/>
  <c r="H98" i="10"/>
  <c r="B8" i="54"/>
  <c r="H100" i="19"/>
  <c r="M111" i="32"/>
  <c r="M180" i="32"/>
  <c r="M193" i="32"/>
  <c r="M124" i="32"/>
  <c r="M125" i="32"/>
  <c r="M195" i="32"/>
  <c r="M189" i="32"/>
  <c r="M119" i="32"/>
  <c r="M120" i="32"/>
  <c r="M188" i="32"/>
  <c r="M116" i="32"/>
  <c r="M190" i="32"/>
  <c r="M118" i="32"/>
  <c r="M115" i="32"/>
  <c r="F88" i="21"/>
  <c r="F88" i="15"/>
  <c r="J25" i="49"/>
  <c r="H89" i="19"/>
  <c r="D89" i="19"/>
  <c r="L182" i="32"/>
  <c r="J229" i="32"/>
  <c r="D108" i="13"/>
  <c r="D109" i="10"/>
  <c r="D89" i="49"/>
  <c r="H89" i="49"/>
  <c r="H88" i="15"/>
  <c r="D88" i="15"/>
  <c r="H65" i="49"/>
  <c r="D88" i="21"/>
  <c r="H88" i="21"/>
  <c r="J65" i="49"/>
  <c r="K21" i="24"/>
  <c r="G13" i="54"/>
  <c r="G16" i="54"/>
  <c r="G8" i="54"/>
  <c r="G11" i="54"/>
  <c r="G17" i="54"/>
  <c r="G6" i="54"/>
  <c r="D100" i="10"/>
  <c r="F100" i="10"/>
  <c r="H100" i="10"/>
  <c r="F111" i="10"/>
  <c r="J66" i="10"/>
  <c r="J18" i="24"/>
  <c r="H111" i="10"/>
  <c r="D111" i="10"/>
  <c r="J68" i="10"/>
  <c r="G10" i="54"/>
  <c r="G14" i="54"/>
  <c r="K30" i="54"/>
  <c r="J236" i="32" l="1"/>
  <c r="J164" i="32"/>
  <c r="J138" i="32"/>
  <c r="J253" i="32"/>
  <c r="J44" i="32"/>
  <c r="J194" i="32"/>
  <c r="J230" i="32"/>
  <c r="J226" i="32"/>
  <c r="J48" i="32"/>
  <c r="J111" i="32"/>
  <c r="J211" i="32"/>
  <c r="J120" i="32"/>
  <c r="F52" i="32"/>
  <c r="J157" i="32"/>
  <c r="J92" i="32"/>
  <c r="J184" i="32"/>
  <c r="J115" i="32"/>
  <c r="J203" i="32"/>
  <c r="J161" i="32"/>
  <c r="J180" i="32"/>
  <c r="J208" i="32"/>
  <c r="J249" i="32"/>
  <c r="J252" i="32"/>
  <c r="J91" i="32"/>
  <c r="J47" i="32"/>
  <c r="J207" i="32"/>
  <c r="J156" i="32"/>
  <c r="J133" i="32"/>
  <c r="J87" i="32"/>
  <c r="M168" i="32"/>
  <c r="J248" i="32"/>
  <c r="F98" i="32"/>
  <c r="F144" i="32"/>
  <c r="J114" i="32"/>
  <c r="F74" i="32"/>
  <c r="J202" i="32"/>
  <c r="F229" i="32"/>
  <c r="F260" i="32"/>
  <c r="J225" i="32"/>
  <c r="J205" i="32"/>
  <c r="J183" i="32"/>
  <c r="J179" i="32"/>
  <c r="F47" i="32"/>
  <c r="F202" i="32"/>
  <c r="F118" i="32"/>
  <c r="J110" i="32"/>
  <c r="J96" i="32"/>
  <c r="M137" i="32"/>
  <c r="F96" i="32"/>
  <c r="M183" i="32"/>
  <c r="M91" i="32"/>
  <c r="M252" i="32"/>
  <c r="M56" i="32"/>
  <c r="J181" i="32"/>
  <c r="M229" i="32"/>
  <c r="M261" i="32"/>
  <c r="M47" i="32"/>
  <c r="J204" i="32"/>
  <c r="M191" i="32"/>
  <c r="M114" i="32"/>
  <c r="F44" i="32"/>
  <c r="M99" i="32"/>
  <c r="F189" i="32"/>
  <c r="N15" i="32"/>
  <c r="N97" i="32" s="1"/>
  <c r="J166" i="32"/>
  <c r="J51" i="32"/>
  <c r="M237" i="32"/>
  <c r="J139" i="32"/>
  <c r="J135" i="32"/>
  <c r="M160" i="32"/>
  <c r="M205" i="32"/>
  <c r="M122" i="32"/>
  <c r="F234" i="32"/>
  <c r="F257" i="32"/>
  <c r="F97" i="32"/>
  <c r="F164" i="32"/>
  <c r="F120" i="32"/>
  <c r="F188" i="32"/>
  <c r="F142" i="32"/>
  <c r="F213" i="32"/>
  <c r="J209" i="32"/>
  <c r="F166" i="32"/>
  <c r="F212" i="32"/>
  <c r="F119" i="32"/>
  <c r="F157" i="32"/>
  <c r="F111" i="32"/>
  <c r="F165" i="32"/>
  <c r="F235" i="32"/>
  <c r="F258" i="32"/>
  <c r="F113" i="32"/>
  <c r="F93" i="32"/>
  <c r="F68" i="32"/>
  <c r="L225" i="32"/>
  <c r="L87" i="32"/>
  <c r="L103" i="32" s="1"/>
  <c r="D50" i="13" s="1"/>
  <c r="J50" i="13" s="1"/>
  <c r="F159" i="32"/>
  <c r="G126" i="32"/>
  <c r="L110" i="32"/>
  <c r="L156" i="32"/>
  <c r="L172" i="32" s="1"/>
  <c r="D41" i="15" s="1"/>
  <c r="J41" i="15" s="1"/>
  <c r="D149" i="32"/>
  <c r="H61" i="27" s="1"/>
  <c r="J61" i="27" s="1"/>
  <c r="N235" i="32"/>
  <c r="F228" i="32"/>
  <c r="F187" i="32"/>
  <c r="N12" i="32"/>
  <c r="N141" i="32" s="1"/>
  <c r="E264" i="32"/>
  <c r="H63" i="21" s="1"/>
  <c r="J63" i="21" s="1"/>
  <c r="L248" i="32"/>
  <c r="N213" i="32"/>
  <c r="F209" i="32"/>
  <c r="F90" i="32"/>
  <c r="J216" i="32"/>
  <c r="F182" i="32"/>
  <c r="F158" i="32"/>
  <c r="F80" i="32"/>
  <c r="K172" i="32"/>
  <c r="M90" i="32"/>
  <c r="N165" i="32"/>
  <c r="L179" i="32"/>
  <c r="M159" i="32"/>
  <c r="L202" i="32"/>
  <c r="F248" i="32"/>
  <c r="F207" i="32"/>
  <c r="J260" i="32"/>
  <c r="J239" i="32"/>
  <c r="J191" i="32"/>
  <c r="J168" i="32"/>
  <c r="F156" i="32"/>
  <c r="J144" i="32"/>
  <c r="J112" i="32"/>
  <c r="F69" i="32"/>
  <c r="N18" i="32"/>
  <c r="N77" i="32" s="1"/>
  <c r="N6" i="32"/>
  <c r="N110" i="32" s="1"/>
  <c r="M216" i="32"/>
  <c r="C103" i="32"/>
  <c r="H69" i="13" s="1"/>
  <c r="J69" i="13" s="1"/>
  <c r="M136" i="32"/>
  <c r="F225" i="32"/>
  <c r="F160" i="32"/>
  <c r="M187" i="32"/>
  <c r="F54" i="32"/>
  <c r="F162" i="32"/>
  <c r="J237" i="32"/>
  <c r="F185" i="32"/>
  <c r="H126" i="32"/>
  <c r="I126" i="32"/>
  <c r="F110" i="32"/>
  <c r="F91" i="32"/>
  <c r="M182" i="32"/>
  <c r="J78" i="32"/>
  <c r="I241" i="32"/>
  <c r="H39" i="19" s="1"/>
  <c r="J39" i="19" s="1"/>
  <c r="L136" i="32"/>
  <c r="L68" i="32"/>
  <c r="I196" i="32"/>
  <c r="H40" i="49" s="1"/>
  <c r="J40" i="49" s="1"/>
  <c r="H103" i="32"/>
  <c r="C264" i="32"/>
  <c r="H61" i="21" s="1"/>
  <c r="J61" i="21" s="1"/>
  <c r="M54" i="32"/>
  <c r="E126" i="32"/>
  <c r="H72" i="10" s="1"/>
  <c r="J72" i="10" s="1"/>
  <c r="E81" i="32"/>
  <c r="H67" i="58" s="1"/>
  <c r="J67" i="58" s="1"/>
  <c r="L113" i="32"/>
  <c r="L23" i="32"/>
  <c r="F183" i="32"/>
  <c r="F49" i="32"/>
  <c r="F231" i="32"/>
  <c r="J52" i="32"/>
  <c r="J170" i="32"/>
  <c r="F254" i="32"/>
  <c r="D196" i="32"/>
  <c r="H62" i="49" s="1"/>
  <c r="J62" i="49" s="1"/>
  <c r="F139" i="32"/>
  <c r="F133" i="32"/>
  <c r="M170" i="32"/>
  <c r="L237" i="32"/>
  <c r="L228" i="32"/>
  <c r="M228" i="32"/>
  <c r="E103" i="32"/>
  <c r="H71" i="13" s="1"/>
  <c r="J71" i="13" s="1"/>
  <c r="F114" i="32"/>
  <c r="M113" i="32"/>
  <c r="H218" i="32"/>
  <c r="K149" i="32"/>
  <c r="F43" i="32"/>
  <c r="L206" i="32"/>
  <c r="L261" i="32"/>
  <c r="C59" i="32"/>
  <c r="H64" i="2" s="1"/>
  <c r="J64" i="2" s="1"/>
  <c r="M46" i="32"/>
  <c r="F65" i="32"/>
  <c r="L122" i="32"/>
  <c r="F137" i="32"/>
  <c r="J98" i="32"/>
  <c r="H264" i="32"/>
  <c r="K264" i="32"/>
  <c r="L191" i="32"/>
  <c r="L196" i="32" s="1"/>
  <c r="D42" i="49" s="1"/>
  <c r="J42" i="49" s="1"/>
  <c r="F179" i="32"/>
  <c r="H172" i="32"/>
  <c r="N10" i="32"/>
  <c r="M239" i="32"/>
  <c r="L205" i="32"/>
  <c r="M206" i="32"/>
  <c r="M251" i="32"/>
  <c r="M23" i="32"/>
  <c r="M112" i="32"/>
  <c r="F236" i="32"/>
  <c r="J49" i="32"/>
  <c r="J125" i="32"/>
  <c r="J185" i="32"/>
  <c r="F181" i="32"/>
  <c r="K59" i="32"/>
  <c r="F67" i="32"/>
  <c r="E218" i="32"/>
  <c r="H60" i="17" s="1"/>
  <c r="J60" i="17" s="1"/>
  <c r="I218" i="32"/>
  <c r="H36" i="17" s="1"/>
  <c r="J36" i="17" s="1"/>
  <c r="G264" i="32"/>
  <c r="H40" i="21" s="1"/>
  <c r="J40" i="21" s="1"/>
  <c r="M145" i="32"/>
  <c r="E59" i="32"/>
  <c r="H66" i="2" s="1"/>
  <c r="J66" i="2" s="1"/>
  <c r="L43" i="32"/>
  <c r="M52" i="32"/>
  <c r="D81" i="32"/>
  <c r="H66" i="58" s="1"/>
  <c r="J66" i="58" s="1"/>
  <c r="J58" i="32"/>
  <c r="F259" i="32"/>
  <c r="J256" i="32"/>
  <c r="J74" i="32"/>
  <c r="N20" i="32"/>
  <c r="G103" i="32"/>
  <c r="H49" i="13" s="1"/>
  <c r="J49" i="13" s="1"/>
  <c r="D264" i="32"/>
  <c r="H62" i="21" s="1"/>
  <c r="J62" i="21" s="1"/>
  <c r="I81" i="32"/>
  <c r="H44" i="58" s="1"/>
  <c r="J44" i="58" s="1"/>
  <c r="M121" i="32"/>
  <c r="F250" i="32"/>
  <c r="J116" i="32"/>
  <c r="J147" i="32"/>
  <c r="J141" i="32"/>
  <c r="J95" i="32"/>
  <c r="F89" i="32"/>
  <c r="H59" i="32"/>
  <c r="J71" i="32"/>
  <c r="N22" i="32"/>
  <c r="G218" i="32"/>
  <c r="H37" i="17" s="1"/>
  <c r="J37" i="17" s="1"/>
  <c r="D103" i="32"/>
  <c r="H70" i="13" s="1"/>
  <c r="J70" i="13" s="1"/>
  <c r="E149" i="32"/>
  <c r="H62" i="27" s="1"/>
  <c r="J62" i="27" s="1"/>
  <c r="L48" i="32"/>
  <c r="M45" i="32"/>
  <c r="G81" i="32"/>
  <c r="H45" i="58" s="1"/>
  <c r="J45" i="58" s="1"/>
  <c r="K126" i="32"/>
  <c r="K103" i="32"/>
  <c r="J53" i="32"/>
  <c r="I149" i="32"/>
  <c r="H40" i="27" s="1"/>
  <c r="J40" i="27" s="1"/>
  <c r="L56" i="32"/>
  <c r="I59" i="32"/>
  <c r="H43" i="2" s="1"/>
  <c r="J43" i="2" s="1"/>
  <c r="J254" i="32"/>
  <c r="F204" i="32"/>
  <c r="N19" i="32"/>
  <c r="J193" i="32"/>
  <c r="J148" i="32"/>
  <c r="J162" i="32"/>
  <c r="J143" i="32"/>
  <c r="F141" i="32"/>
  <c r="H149" i="32"/>
  <c r="F134" i="32"/>
  <c r="J118" i="32"/>
  <c r="J97" i="32"/>
  <c r="F95" i="32"/>
  <c r="J56" i="32"/>
  <c r="N16" i="32"/>
  <c r="N51" i="32" s="1"/>
  <c r="D218" i="32"/>
  <c r="H59" i="17" s="1"/>
  <c r="J59" i="17" s="1"/>
  <c r="M260" i="32"/>
  <c r="C149" i="32"/>
  <c r="H60" i="27" s="1"/>
  <c r="J60" i="27" s="1"/>
  <c r="G149" i="32"/>
  <c r="H41" i="27" s="1"/>
  <c r="J41" i="27" s="1"/>
  <c r="G59" i="32"/>
  <c r="H44" i="2" s="1"/>
  <c r="J44" i="2" s="1"/>
  <c r="C126" i="32"/>
  <c r="H70" i="10" s="1"/>
  <c r="J70" i="10" s="1"/>
  <c r="L78" i="32"/>
  <c r="F214" i="32"/>
  <c r="N120" i="32"/>
  <c r="J217" i="32"/>
  <c r="J231" i="32"/>
  <c r="J190" i="32"/>
  <c r="J165" i="32"/>
  <c r="J145" i="32"/>
  <c r="F88" i="32"/>
  <c r="F53" i="32"/>
  <c r="N14" i="32"/>
  <c r="N170" i="32" s="1"/>
  <c r="C218" i="32"/>
  <c r="H58" i="17" s="1"/>
  <c r="J58" i="17" s="1"/>
  <c r="I264" i="32"/>
  <c r="H39" i="21" s="1"/>
  <c r="J39" i="21" s="1"/>
  <c r="D59" i="32"/>
  <c r="H65" i="2" s="1"/>
  <c r="J65" i="2" s="1"/>
  <c r="D126" i="32"/>
  <c r="H71" i="10" s="1"/>
  <c r="J71" i="10" s="1"/>
  <c r="F227" i="32"/>
  <c r="J195" i="32"/>
  <c r="M181" i="32"/>
  <c r="J101" i="32"/>
  <c r="J171" i="32"/>
  <c r="J233" i="32"/>
  <c r="J119" i="32"/>
  <c r="J99" i="32"/>
  <c r="F135" i="32"/>
  <c r="N21" i="32"/>
  <c r="C172" i="32"/>
  <c r="H61" i="15" s="1"/>
  <c r="J61" i="15" s="1"/>
  <c r="I103" i="32"/>
  <c r="H48" i="13" s="1"/>
  <c r="J48" i="13" s="1"/>
  <c r="M98" i="32"/>
  <c r="C81" i="32"/>
  <c r="H65" i="58" s="1"/>
  <c r="J65" i="58" s="1"/>
  <c r="K218" i="32"/>
  <c r="K241" i="32"/>
  <c r="H81" i="32"/>
  <c r="N17" i="32"/>
  <c r="J76" i="32"/>
  <c r="J187" i="32"/>
  <c r="J46" i="32"/>
  <c r="J182" i="32"/>
  <c r="N9" i="32"/>
  <c r="J206" i="32"/>
  <c r="J228" i="32"/>
  <c r="J136" i="32"/>
  <c r="J251" i="32"/>
  <c r="J159" i="32"/>
  <c r="J113" i="32"/>
  <c r="J90" i="32"/>
  <c r="N179" i="32"/>
  <c r="N87" i="32"/>
  <c r="H241" i="32"/>
  <c r="J23" i="32"/>
  <c r="N256" i="32"/>
  <c r="N190" i="32"/>
  <c r="F237" i="32"/>
  <c r="F99" i="32"/>
  <c r="F78" i="32"/>
  <c r="F56" i="32"/>
  <c r="F122" i="32"/>
  <c r="F261" i="32"/>
  <c r="F23" i="32"/>
  <c r="F145" i="32"/>
  <c r="F168" i="32"/>
  <c r="F205" i="32"/>
  <c r="F138" i="32"/>
  <c r="F184" i="32"/>
  <c r="F208" i="32"/>
  <c r="F161" i="32"/>
  <c r="F92" i="32"/>
  <c r="F230" i="32"/>
  <c r="F70" i="32"/>
  <c r="F115" i="32"/>
  <c r="F253" i="32"/>
  <c r="F48" i="32"/>
  <c r="E196" i="32"/>
  <c r="H63" i="49" s="1"/>
  <c r="J63" i="49" s="1"/>
  <c r="G196" i="32"/>
  <c r="H41" i="49" s="1"/>
  <c r="J41" i="49" s="1"/>
  <c r="H196" i="32"/>
  <c r="K196" i="32"/>
  <c r="C196" i="32"/>
  <c r="H61" i="49" s="1"/>
  <c r="J61" i="49" s="1"/>
  <c r="N11" i="32"/>
  <c r="N166" i="32"/>
  <c r="F45" i="32"/>
  <c r="N8" i="32"/>
  <c r="C241" i="32"/>
  <c r="H61" i="19" s="1"/>
  <c r="J61" i="19" s="1"/>
  <c r="J167" i="32"/>
  <c r="J259" i="32"/>
  <c r="F71" i="32"/>
  <c r="J77" i="32"/>
  <c r="K81" i="32"/>
  <c r="I172" i="32"/>
  <c r="H39" i="15" s="1"/>
  <c r="J39" i="15" s="1"/>
  <c r="E241" i="32"/>
  <c r="H63" i="19" s="1"/>
  <c r="J63" i="19" s="1"/>
  <c r="N7" i="32"/>
  <c r="N13" i="32"/>
  <c r="J45" i="32"/>
  <c r="J158" i="32"/>
  <c r="J250" i="32"/>
  <c r="G172" i="32"/>
  <c r="H40" i="15" s="1"/>
  <c r="J40" i="15" s="1"/>
  <c r="G241" i="32"/>
  <c r="H40" i="19" s="1"/>
  <c r="J40" i="19" s="1"/>
  <c r="J240" i="32"/>
  <c r="J102" i="32"/>
  <c r="D172" i="32"/>
  <c r="H62" i="15" s="1"/>
  <c r="J62" i="15" s="1"/>
  <c r="J124" i="32"/>
  <c r="E172" i="32"/>
  <c r="H63" i="15" s="1"/>
  <c r="J63" i="15" s="1"/>
  <c r="D241" i="32"/>
  <c r="H62" i="19" s="1"/>
  <c r="J62" i="19" s="1"/>
  <c r="M165" i="32"/>
  <c r="M227" i="32"/>
  <c r="M212" i="32"/>
  <c r="M257" i="32"/>
  <c r="L133" i="32"/>
  <c r="M141" i="32"/>
  <c r="M53" i="32"/>
  <c r="M44" i="32"/>
  <c r="M80" i="32"/>
  <c r="M70" i="32"/>
  <c r="M93" i="32"/>
  <c r="M139" i="32"/>
  <c r="M162" i="32"/>
  <c r="M236" i="32"/>
  <c r="M209" i="32"/>
  <c r="M254" i="32"/>
  <c r="M147" i="32"/>
  <c r="M138" i="32"/>
  <c r="M51" i="32"/>
  <c r="M235" i="32"/>
  <c r="M89" i="32"/>
  <c r="M135" i="32"/>
  <c r="M49" i="32"/>
  <c r="M158" i="32"/>
  <c r="M234" i="32"/>
  <c r="M250" i="32"/>
  <c r="M77" i="32"/>
  <c r="M204" i="32"/>
  <c r="M143" i="32"/>
  <c r="M97" i="32"/>
  <c r="N211" i="32" l="1"/>
  <c r="N133" i="32"/>
  <c r="N73" i="32"/>
  <c r="N53" i="32"/>
  <c r="N248" i="32"/>
  <c r="N75" i="32"/>
  <c r="N164" i="32"/>
  <c r="N233" i="32"/>
  <c r="N118" i="32"/>
  <c r="N95" i="32"/>
  <c r="N43" i="32"/>
  <c r="L218" i="32"/>
  <c r="D38" i="17" s="1"/>
  <c r="J38" i="17" s="1"/>
  <c r="L81" i="32"/>
  <c r="D46" i="58" s="1"/>
  <c r="J46" i="58" s="1"/>
  <c r="N96" i="32"/>
  <c r="M196" i="32"/>
  <c r="D39" i="49" s="1"/>
  <c r="J39" i="49" s="1"/>
  <c r="J38" i="49" s="1"/>
  <c r="J70" i="49" s="1"/>
  <c r="J73" i="49" s="1"/>
  <c r="N212" i="32"/>
  <c r="N257" i="32"/>
  <c r="N188" i="32"/>
  <c r="N258" i="32"/>
  <c r="N239" i="32"/>
  <c r="N234" i="32"/>
  <c r="N216" i="32"/>
  <c r="N156" i="32"/>
  <c r="L241" i="32"/>
  <c r="D41" i="19" s="1"/>
  <c r="J41" i="19" s="1"/>
  <c r="N142" i="32"/>
  <c r="N189" i="32"/>
  <c r="L264" i="32"/>
  <c r="D41" i="21" s="1"/>
  <c r="J41" i="21" s="1"/>
  <c r="J218" i="32"/>
  <c r="J81" i="10"/>
  <c r="H102" i="10" s="1"/>
  <c r="N143" i="32"/>
  <c r="N119" i="32"/>
  <c r="N225" i="32"/>
  <c r="F126" i="32"/>
  <c r="J149" i="32"/>
  <c r="L46" i="58"/>
  <c r="N55" i="32"/>
  <c r="J81" i="32"/>
  <c r="M126" i="32"/>
  <c r="L126" i="32"/>
  <c r="J59" i="32"/>
  <c r="F241" i="32"/>
  <c r="M264" i="32"/>
  <c r="D38" i="21" s="1"/>
  <c r="J38" i="21" s="1"/>
  <c r="F103" i="32"/>
  <c r="L59" i="32"/>
  <c r="D45" i="2" s="1"/>
  <c r="J45" i="2" s="1"/>
  <c r="F196" i="32"/>
  <c r="N65" i="32"/>
  <c r="N202" i="32"/>
  <c r="M218" i="32"/>
  <c r="D35" i="17" s="1"/>
  <c r="J35" i="17" s="1"/>
  <c r="J196" i="32"/>
  <c r="M103" i="32"/>
  <c r="D47" i="13" s="1"/>
  <c r="J47" i="13" s="1"/>
  <c r="J46" i="13" s="1"/>
  <c r="J77" i="13" s="1"/>
  <c r="J80" i="13" s="1"/>
  <c r="L149" i="32"/>
  <c r="D42" i="27" s="1"/>
  <c r="J42" i="27" s="1"/>
  <c r="J172" i="32"/>
  <c r="F81" i="32"/>
  <c r="N263" i="32"/>
  <c r="N69" i="32"/>
  <c r="N252" i="32"/>
  <c r="N114" i="32"/>
  <c r="N183" i="32"/>
  <c r="N137" i="32"/>
  <c r="N47" i="32"/>
  <c r="N160" i="32"/>
  <c r="N229" i="32"/>
  <c r="N91" i="32"/>
  <c r="N207" i="32"/>
  <c r="J264" i="32"/>
  <c r="N236" i="32"/>
  <c r="N214" i="32"/>
  <c r="N167" i="32"/>
  <c r="N259" i="32"/>
  <c r="N66" i="32"/>
  <c r="N157" i="32"/>
  <c r="N203" i="32"/>
  <c r="N44" i="32"/>
  <c r="N111" i="32"/>
  <c r="N226" i="32"/>
  <c r="N249" i="32"/>
  <c r="N88" i="32"/>
  <c r="N180" i="32"/>
  <c r="N134" i="32"/>
  <c r="N74" i="32"/>
  <c r="N144" i="32"/>
  <c r="N121" i="32"/>
  <c r="N98" i="32"/>
  <c r="N52" i="32"/>
  <c r="N260" i="32"/>
  <c r="F218" i="32"/>
  <c r="L45" i="2"/>
  <c r="M81" i="32"/>
  <c r="D43" i="58" s="1"/>
  <c r="J43" i="58" s="1"/>
  <c r="J42" i="58" s="1"/>
  <c r="J58" i="58" s="1"/>
  <c r="J60" i="58" s="1"/>
  <c r="F172" i="32"/>
  <c r="N80" i="32"/>
  <c r="N102" i="32"/>
  <c r="N58" i="32"/>
  <c r="N217" i="32"/>
  <c r="N124" i="32"/>
  <c r="N193" i="32"/>
  <c r="N148" i="32"/>
  <c r="N171" i="32"/>
  <c r="N194" i="32"/>
  <c r="N101" i="32"/>
  <c r="N195" i="32"/>
  <c r="N125" i="32"/>
  <c r="N147" i="32"/>
  <c r="N240" i="32"/>
  <c r="F149" i="32"/>
  <c r="M172" i="32"/>
  <c r="D38" i="15" s="1"/>
  <c r="J38" i="15" s="1"/>
  <c r="J37" i="15" s="1"/>
  <c r="J69" i="15" s="1"/>
  <c r="J72" i="15" s="1"/>
  <c r="J37" i="21"/>
  <c r="J54" i="21" s="1"/>
  <c r="M59" i="32"/>
  <c r="D42" i="2" s="1"/>
  <c r="J42" i="2" s="1"/>
  <c r="F59" i="32"/>
  <c r="J241" i="32"/>
  <c r="N76" i="32"/>
  <c r="N187" i="32"/>
  <c r="N54" i="32"/>
  <c r="M149" i="32"/>
  <c r="D39" i="27" s="1"/>
  <c r="J39" i="27" s="1"/>
  <c r="J38" i="27" s="1"/>
  <c r="N254" i="32"/>
  <c r="N116" i="32"/>
  <c r="N185" i="32"/>
  <c r="N71" i="32"/>
  <c r="N49" i="32"/>
  <c r="N162" i="32"/>
  <c r="N93" i="32"/>
  <c r="N231" i="32"/>
  <c r="N209" i="32"/>
  <c r="N139" i="32"/>
  <c r="N68" i="32"/>
  <c r="N159" i="32"/>
  <c r="N90" i="32"/>
  <c r="N228" i="32"/>
  <c r="N251" i="32"/>
  <c r="N113" i="32"/>
  <c r="N182" i="32"/>
  <c r="N46" i="32"/>
  <c r="N206" i="32"/>
  <c r="N136" i="32"/>
  <c r="J84" i="10"/>
  <c r="H113" i="10"/>
  <c r="F113" i="10"/>
  <c r="F102" i="10"/>
  <c r="D113" i="10"/>
  <c r="J82" i="10"/>
  <c r="D102" i="10"/>
  <c r="N70" i="32"/>
  <c r="N161" i="32"/>
  <c r="N115" i="32"/>
  <c r="N92" i="32"/>
  <c r="N48" i="32"/>
  <c r="N230" i="32"/>
  <c r="N184" i="32"/>
  <c r="N253" i="32"/>
  <c r="N138" i="32"/>
  <c r="N208" i="32"/>
  <c r="J103" i="32"/>
  <c r="J126" i="32"/>
  <c r="N135" i="32"/>
  <c r="N181" i="32"/>
  <c r="N45" i="32"/>
  <c r="N158" i="32"/>
  <c r="N204" i="32"/>
  <c r="N227" i="32"/>
  <c r="N67" i="32"/>
  <c r="N250" i="32"/>
  <c r="N89" i="32"/>
  <c r="N112" i="32"/>
  <c r="N23" i="32"/>
  <c r="N78" i="32"/>
  <c r="N56" i="32"/>
  <c r="N168" i="32"/>
  <c r="N237" i="32"/>
  <c r="N122" i="32"/>
  <c r="N191" i="32"/>
  <c r="N99" i="32"/>
  <c r="N145" i="32"/>
  <c r="N261" i="32"/>
  <c r="N205" i="32"/>
  <c r="M241" i="32"/>
  <c r="D38" i="19" s="1"/>
  <c r="J38" i="19" s="1"/>
  <c r="F264" i="32"/>
  <c r="J37" i="19" l="1"/>
  <c r="J34" i="17"/>
  <c r="J51" i="17" s="1"/>
  <c r="J53" i="17" s="1"/>
  <c r="J41" i="2"/>
  <c r="J57" i="2" s="1"/>
  <c r="J59" i="2" s="1"/>
  <c r="J62" i="13"/>
  <c r="J64" i="13" s="1"/>
  <c r="F110" i="13" s="1"/>
  <c r="J54" i="49"/>
  <c r="J56" i="49" s="1"/>
  <c r="F91" i="49" s="1"/>
  <c r="J54" i="15"/>
  <c r="J56" i="15" s="1"/>
  <c r="F90" i="15" s="1"/>
  <c r="J73" i="58"/>
  <c r="J76" i="58" s="1"/>
  <c r="N103" i="32"/>
  <c r="N264" i="32"/>
  <c r="J72" i="2"/>
  <c r="J75" i="2" s="1"/>
  <c r="J78" i="2" s="1"/>
  <c r="J56" i="21"/>
  <c r="D101" i="21" s="1"/>
  <c r="N59" i="32"/>
  <c r="N196" i="32"/>
  <c r="N241" i="32"/>
  <c r="J69" i="21"/>
  <c r="J72" i="21" s="1"/>
  <c r="D103" i="21" s="1"/>
  <c r="N218" i="32"/>
  <c r="N172" i="32"/>
  <c r="N149" i="32"/>
  <c r="N126" i="32"/>
  <c r="I15" i="24"/>
  <c r="J62" i="2"/>
  <c r="J60" i="2"/>
  <c r="D105" i="2"/>
  <c r="F105" i="2"/>
  <c r="D94" i="2"/>
  <c r="H94" i="2"/>
  <c r="F94" i="2"/>
  <c r="H105" i="2"/>
  <c r="J76" i="49"/>
  <c r="D91" i="49"/>
  <c r="J73" i="15"/>
  <c r="F92" i="15"/>
  <c r="H103" i="15"/>
  <c r="D92" i="15"/>
  <c r="F103" i="15"/>
  <c r="D103" i="15"/>
  <c r="H92" i="15"/>
  <c r="F103" i="21"/>
  <c r="F92" i="21"/>
  <c r="F112" i="13"/>
  <c r="F101" i="13"/>
  <c r="D101" i="13"/>
  <c r="J81" i="13"/>
  <c r="H112" i="13"/>
  <c r="H101" i="13"/>
  <c r="D112" i="13"/>
  <c r="H97" i="58"/>
  <c r="J77" i="58"/>
  <c r="H108" i="58"/>
  <c r="F108" i="58"/>
  <c r="D108" i="58"/>
  <c r="F97" i="58"/>
  <c r="D97" i="58"/>
  <c r="J79" i="58"/>
  <c r="F106" i="58"/>
  <c r="F95" i="58"/>
  <c r="D95" i="58"/>
  <c r="H106" i="58"/>
  <c r="J63" i="58"/>
  <c r="I16" i="24"/>
  <c r="H95" i="58"/>
  <c r="J61" i="58"/>
  <c r="D106" i="58"/>
  <c r="J53" i="27"/>
  <c r="J55" i="27" s="1"/>
  <c r="J68" i="27"/>
  <c r="J71" i="27" s="1"/>
  <c r="G18" i="24"/>
  <c r="H18" i="24" s="1"/>
  <c r="D10" i="25" s="1"/>
  <c r="J85" i="10"/>
  <c r="D104" i="10"/>
  <c r="J87" i="10"/>
  <c r="H115" i="10"/>
  <c r="F115" i="10"/>
  <c r="H104" i="10"/>
  <c r="D115" i="10"/>
  <c r="F104" i="10"/>
  <c r="H93" i="49"/>
  <c r="H104" i="49"/>
  <c r="D93" i="49"/>
  <c r="D104" i="49"/>
  <c r="F93" i="49"/>
  <c r="J74" i="49"/>
  <c r="F104" i="49"/>
  <c r="I20" i="24"/>
  <c r="J20" i="24" s="1"/>
  <c r="D90" i="15"/>
  <c r="H90" i="15"/>
  <c r="J59" i="15"/>
  <c r="J54" i="19"/>
  <c r="J56" i="19" s="1"/>
  <c r="J70" i="19"/>
  <c r="J73" i="19" s="1"/>
  <c r="N81" i="32"/>
  <c r="J57" i="15" l="1"/>
  <c r="J67" i="17"/>
  <c r="J70" i="17" s="1"/>
  <c r="H102" i="17" s="1"/>
  <c r="F101" i="15"/>
  <c r="J75" i="15"/>
  <c r="D101" i="15"/>
  <c r="H107" i="2"/>
  <c r="H101" i="15"/>
  <c r="D107" i="2"/>
  <c r="J76" i="2"/>
  <c r="D96" i="2"/>
  <c r="F96" i="2"/>
  <c r="J67" i="13"/>
  <c r="H99" i="13"/>
  <c r="J57" i="49"/>
  <c r="J65" i="13"/>
  <c r="D99" i="13"/>
  <c r="I17" i="24"/>
  <c r="J17" i="24" s="1"/>
  <c r="J59" i="49"/>
  <c r="D110" i="13"/>
  <c r="D102" i="49"/>
  <c r="H91" i="49"/>
  <c r="F99" i="13"/>
  <c r="J83" i="13"/>
  <c r="H114" i="13" s="1"/>
  <c r="H110" i="13"/>
  <c r="H92" i="21"/>
  <c r="J57" i="21"/>
  <c r="I21" i="24"/>
  <c r="J21" i="24" s="1"/>
  <c r="I24" i="24"/>
  <c r="J24" i="24" s="1"/>
  <c r="F107" i="2"/>
  <c r="H101" i="21"/>
  <c r="F102" i="49"/>
  <c r="H102" i="49"/>
  <c r="H96" i="2"/>
  <c r="D90" i="21"/>
  <c r="H90" i="21"/>
  <c r="J59" i="21"/>
  <c r="F90" i="21"/>
  <c r="H91" i="17"/>
  <c r="F101" i="21"/>
  <c r="F102" i="17"/>
  <c r="J71" i="17"/>
  <c r="D102" i="17"/>
  <c r="F91" i="17"/>
  <c r="D92" i="21"/>
  <c r="D91" i="17"/>
  <c r="J73" i="17"/>
  <c r="D93" i="17" s="1"/>
  <c r="J56" i="17"/>
  <c r="F100" i="17"/>
  <c r="I22" i="24"/>
  <c r="J22" i="24" s="1"/>
  <c r="J54" i="17"/>
  <c r="D100" i="17"/>
  <c r="D89" i="17"/>
  <c r="H100" i="17"/>
  <c r="F89" i="17"/>
  <c r="H89" i="17"/>
  <c r="J73" i="21"/>
  <c r="H103" i="21"/>
  <c r="J75" i="21"/>
  <c r="G24" i="24" s="1"/>
  <c r="H24" i="24" s="1"/>
  <c r="D15" i="25" s="1"/>
  <c r="D20" i="25"/>
  <c r="E10" i="25"/>
  <c r="G20" i="24"/>
  <c r="H20" i="24" s="1"/>
  <c r="D11" i="25" s="1"/>
  <c r="H94" i="15"/>
  <c r="F94" i="15"/>
  <c r="H105" i="15"/>
  <c r="J78" i="15"/>
  <c r="F105" i="15"/>
  <c r="J76" i="15"/>
  <c r="D105" i="15"/>
  <c r="D94" i="15"/>
  <c r="I23" i="24"/>
  <c r="J23" i="24" s="1"/>
  <c r="H91" i="19"/>
  <c r="F102" i="19"/>
  <c r="J76" i="19"/>
  <c r="J59" i="19"/>
  <c r="H102" i="19"/>
  <c r="D91" i="19"/>
  <c r="F91" i="19"/>
  <c r="J57" i="19"/>
  <c r="D102" i="19"/>
  <c r="J72" i="27"/>
  <c r="H102" i="27"/>
  <c r="F91" i="27"/>
  <c r="H91" i="27"/>
  <c r="D91" i="27"/>
  <c r="D102" i="27"/>
  <c r="F102" i="27"/>
  <c r="J74" i="27"/>
  <c r="J56" i="27"/>
  <c r="D89" i="27"/>
  <c r="F89" i="27"/>
  <c r="J58" i="27"/>
  <c r="I19" i="24"/>
  <c r="J19" i="24" s="1"/>
  <c r="H100" i="27"/>
  <c r="D100" i="27"/>
  <c r="F100" i="27"/>
  <c r="H89" i="27"/>
  <c r="G16" i="24"/>
  <c r="H110" i="58"/>
  <c r="D110" i="58"/>
  <c r="H99" i="58"/>
  <c r="F99" i="58"/>
  <c r="J82" i="58"/>
  <c r="J80" i="58"/>
  <c r="D99" i="58"/>
  <c r="F110" i="58"/>
  <c r="J78" i="21"/>
  <c r="G15" i="24"/>
  <c r="H109" i="2"/>
  <c r="D109" i="2"/>
  <c r="F98" i="2"/>
  <c r="F109" i="2"/>
  <c r="D98" i="2"/>
  <c r="J81" i="2"/>
  <c r="H98" i="2"/>
  <c r="J79" i="2"/>
  <c r="D104" i="19"/>
  <c r="J74" i="19"/>
  <c r="F104" i="19"/>
  <c r="F93" i="19"/>
  <c r="D93" i="19"/>
  <c r="H93" i="19"/>
  <c r="H104" i="19"/>
  <c r="E21" i="54"/>
  <c r="F21" i="54" s="1"/>
  <c r="J16" i="24"/>
  <c r="E18" i="54"/>
  <c r="F18" i="54" s="1"/>
  <c r="E22" i="54"/>
  <c r="F22" i="54" s="1"/>
  <c r="E25" i="54"/>
  <c r="F25" i="54" s="1"/>
  <c r="H95" i="49"/>
  <c r="H106" i="49"/>
  <c r="F95" i="49"/>
  <c r="J77" i="49"/>
  <c r="D95" i="49"/>
  <c r="D106" i="49"/>
  <c r="F106" i="49"/>
  <c r="J79" i="49"/>
  <c r="G21" i="24"/>
  <c r="H21" i="24" s="1"/>
  <c r="E9" i="54"/>
  <c r="J15" i="24"/>
  <c r="E10" i="54"/>
  <c r="E13" i="54"/>
  <c r="E11" i="54"/>
  <c r="E6" i="54"/>
  <c r="J86" i="13" l="1"/>
  <c r="H103" i="13"/>
  <c r="H93" i="17"/>
  <c r="D103" i="13"/>
  <c r="G17" i="24"/>
  <c r="H17" i="24" s="1"/>
  <c r="D9" i="25" s="1"/>
  <c r="F114" i="13"/>
  <c r="D114" i="13"/>
  <c r="F103" i="13"/>
  <c r="J84" i="13"/>
  <c r="D105" i="21"/>
  <c r="F94" i="21"/>
  <c r="H104" i="17"/>
  <c r="F93" i="17"/>
  <c r="J76" i="17"/>
  <c r="G22" i="24"/>
  <c r="H22" i="24" s="1"/>
  <c r="D12" i="25" s="1"/>
  <c r="E12" i="54"/>
  <c r="E24" i="54"/>
  <c r="F24" i="54" s="1"/>
  <c r="E7" i="54"/>
  <c r="I37" i="24" s="1"/>
  <c r="E19" i="54"/>
  <c r="F19" i="54" s="1"/>
  <c r="E20" i="54"/>
  <c r="F20" i="54" s="1"/>
  <c r="E26" i="54"/>
  <c r="F26" i="54" s="1"/>
  <c r="E23" i="54"/>
  <c r="F23" i="54" s="1"/>
  <c r="J36" i="24" s="1"/>
  <c r="E8" i="54"/>
  <c r="H94" i="21"/>
  <c r="F104" i="17"/>
  <c r="D104" i="17"/>
  <c r="J74" i="17"/>
  <c r="H105" i="21"/>
  <c r="E29" i="54"/>
  <c r="F29" i="54" s="1"/>
  <c r="E28" i="54"/>
  <c r="F28" i="54" s="1"/>
  <c r="E16" i="54"/>
  <c r="E17" i="54"/>
  <c r="E15" i="54"/>
  <c r="E27" i="54"/>
  <c r="F27" i="54" s="1"/>
  <c r="E14" i="54"/>
  <c r="J76" i="21"/>
  <c r="F105" i="21"/>
  <c r="D94" i="21"/>
  <c r="D24" i="25"/>
  <c r="D27" i="25"/>
  <c r="E15" i="25"/>
  <c r="C25" i="54"/>
  <c r="D25" i="54" s="1"/>
  <c r="H16" i="24"/>
  <c r="D13" i="25" s="1"/>
  <c r="D21" i="25" s="1"/>
  <c r="C22" i="54"/>
  <c r="D22" i="54" s="1"/>
  <c r="C21" i="54"/>
  <c r="D21" i="54" s="1"/>
  <c r="C20" i="54"/>
  <c r="D20" i="54" s="1"/>
  <c r="C24" i="54"/>
  <c r="D24" i="54" s="1"/>
  <c r="C18" i="54"/>
  <c r="D18" i="54" s="1"/>
  <c r="G19" i="24"/>
  <c r="H19" i="24" s="1"/>
  <c r="D8" i="25" s="1"/>
  <c r="J75" i="27"/>
  <c r="J77" i="27"/>
  <c r="F93" i="27"/>
  <c r="F104" i="27"/>
  <c r="D93" i="27"/>
  <c r="D104" i="27"/>
  <c r="H93" i="27"/>
  <c r="H104" i="27"/>
  <c r="G23" i="24"/>
  <c r="H23" i="24" s="1"/>
  <c r="D14" i="25" s="1"/>
  <c r="H95" i="19"/>
  <c r="H106" i="19"/>
  <c r="D95" i="19"/>
  <c r="F106" i="19"/>
  <c r="D106" i="19"/>
  <c r="J77" i="19"/>
  <c r="J79" i="19"/>
  <c r="F95" i="19"/>
  <c r="D17" i="25"/>
  <c r="D25" i="25" s="1"/>
  <c r="E11" i="25"/>
  <c r="D19" i="25"/>
  <c r="E12" i="25"/>
  <c r="F7" i="54"/>
  <c r="J37" i="24" s="1"/>
  <c r="F11" i="54"/>
  <c r="F15" i="54"/>
  <c r="F13" i="54"/>
  <c r="F17" i="54"/>
  <c r="F8" i="54"/>
  <c r="F9" i="54"/>
  <c r="F16" i="54"/>
  <c r="F12" i="54"/>
  <c r="F6" i="54"/>
  <c r="F10" i="54"/>
  <c r="F14" i="54"/>
  <c r="D22" i="25"/>
  <c r="E9" i="25"/>
  <c r="H15" i="24"/>
  <c r="C13" i="54"/>
  <c r="C9" i="54"/>
  <c r="C10" i="54"/>
  <c r="C8" i="54"/>
  <c r="C6" i="54"/>
  <c r="C12" i="54"/>
  <c r="I36" i="24" l="1"/>
  <c r="C7" i="54"/>
  <c r="G37" i="24" s="1"/>
  <c r="C11" i="54"/>
  <c r="C14" i="54"/>
  <c r="C17" i="54"/>
  <c r="D7" i="25"/>
  <c r="D12" i="54"/>
  <c r="D17" i="54"/>
  <c r="D7" i="54"/>
  <c r="H37" i="24" s="1"/>
  <c r="D16" i="54"/>
  <c r="D14" i="54"/>
  <c r="D11" i="54"/>
  <c r="D6" i="54"/>
  <c r="D9" i="54"/>
  <c r="D8" i="54"/>
  <c r="D15" i="54"/>
  <c r="D10" i="54"/>
  <c r="D13" i="54"/>
  <c r="C26" i="54"/>
  <c r="D26" i="54" s="1"/>
  <c r="C23" i="54"/>
  <c r="C27" i="54"/>
  <c r="D27" i="54" s="1"/>
  <c r="C19" i="54"/>
  <c r="D19" i="54" s="1"/>
  <c r="C16" i="54"/>
  <c r="C15" i="54"/>
  <c r="C28" i="54"/>
  <c r="D28" i="54" s="1"/>
  <c r="D18" i="25"/>
  <c r="E14" i="25"/>
  <c r="D26" i="25"/>
  <c r="E8" i="25"/>
  <c r="C29" i="54"/>
  <c r="D29" i="54" s="1"/>
  <c r="D23" i="54" l="1"/>
  <c r="H36" i="24" s="1"/>
  <c r="G36" i="24"/>
  <c r="D23" i="25"/>
  <c r="E7" i="25"/>
</calcChain>
</file>

<file path=xl/sharedStrings.xml><?xml version="1.0" encoding="utf-8"?>
<sst xmlns="http://schemas.openxmlformats.org/spreadsheetml/2006/main" count="2550" uniqueCount="605">
  <si>
    <r>
      <t>1</t>
    </r>
    <r>
      <rPr>
        <sz val="10"/>
        <rFont val="Arial"/>
        <family val="2"/>
      </rPr>
      <t>Spraying for rust is assumed to occur about half the time. Budget values are 50% of actual cost.</t>
    </r>
  </si>
  <si>
    <t>Crop Oil Concentrate</t>
  </si>
  <si>
    <t>Fuel Use</t>
  </si>
  <si>
    <t xml:space="preserve">(hr/acre) </t>
  </si>
  <si>
    <t>(gal/acre)</t>
  </si>
  <si>
    <t>Cost/Unit</t>
  </si>
  <si>
    <t>Spring Canola</t>
  </si>
  <si>
    <t>Green Cells: Data are from Input Costs page (green tab).</t>
  </si>
  <si>
    <t>Blue Cells: Data are from the Machinery page (blue tab).</t>
  </si>
  <si>
    <t>Cost  (TC) of</t>
  </si>
  <si>
    <t>Costs (VC)</t>
  </si>
  <si>
    <t>Total:</t>
  </si>
  <si>
    <t>Costs by Crop:</t>
  </si>
  <si>
    <t xml:space="preserve">Click on crop to see machinery costs by crop. </t>
  </si>
  <si>
    <t>Soft White Winter Wheat</t>
  </si>
  <si>
    <t>Soft White Spring Wheat</t>
  </si>
  <si>
    <t>Spring Barley</t>
  </si>
  <si>
    <t>Spring Peas</t>
  </si>
  <si>
    <t>Spring Lentils</t>
  </si>
  <si>
    <t>36' Cultiweeder</t>
  </si>
  <si>
    <t>350HP-WT, 40' Heavy Harrow</t>
  </si>
  <si>
    <t>350HP-WT, 60' Flex Harrow</t>
  </si>
  <si>
    <t>350HP-WT, 36' Culivator with</t>
  </si>
  <si>
    <t>350HP-WT, 36' Ripper Shooter</t>
  </si>
  <si>
    <t>350HP-WT, 36' Cultivator with</t>
  </si>
  <si>
    <t xml:space="preserve">350HP-WT, 36' Cultivator with </t>
  </si>
  <si>
    <t xml:space="preserve">350HP-WT, 36' Culivator with </t>
  </si>
  <si>
    <t xml:space="preserve">350HP-WT, Cultivator with </t>
  </si>
  <si>
    <t>30' Combine</t>
  </si>
  <si>
    <t>We assume that approximately half</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</si>
  <si>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</si>
  <si>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</si>
  <si>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</si>
  <si>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</si>
  <si>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</si>
  <si>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</si>
  <si>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</si>
  <si>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</si>
  <si>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</si>
  <si>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</si>
  <si>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</si>
  <si>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</si>
  <si>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</si>
  <si>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</si>
  <si>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</si>
  <si>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</si>
  <si>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</si>
  <si>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</si>
  <si>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</si>
  <si>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r>
      <t xml:space="preserve">Legend: </t>
    </r>
    <r>
      <rPr>
        <b/>
        <i/>
        <sz val="10"/>
        <rFont val="Arial"/>
        <family val="2"/>
      </rPr>
      <t>Follow directions below to preserve equations in this spreadsheet.</t>
    </r>
  </si>
  <si>
    <t>Machinery:</t>
  </si>
  <si>
    <r>
      <t>Operating Interest</t>
    </r>
    <r>
      <rPr>
        <vertAlign val="superscript"/>
        <sz val="10"/>
        <rFont val="Arial"/>
        <family val="2"/>
      </rPr>
      <t>2</t>
    </r>
  </si>
  <si>
    <t>10 Bottom Plow</t>
  </si>
  <si>
    <t>350HP- WT, 36' Cultivator with</t>
  </si>
  <si>
    <t>350HP-WT, 10-Bottom Plow</t>
  </si>
  <si>
    <t>350HP-WT, 23' Chisel Plow</t>
  </si>
  <si>
    <t>350HP-WT, 36' Cultiweeder</t>
  </si>
  <si>
    <t>Aerial Spray*</t>
  </si>
  <si>
    <t>*Spraying for rust is assumed to occur about half the time. Budget values are 50% of actual cost to reflect this fact.</t>
  </si>
  <si>
    <t>Syltac</t>
  </si>
  <si>
    <r>
      <t>Quilt</t>
    </r>
    <r>
      <rPr>
        <vertAlign val="superscript"/>
        <sz val="10"/>
        <rFont val="Arial"/>
        <family val="2"/>
      </rPr>
      <t>1</t>
    </r>
  </si>
  <si>
    <r>
      <t>Overhead</t>
    </r>
    <r>
      <rPr>
        <vertAlign val="superscript"/>
        <sz val="10"/>
        <rFont val="Arial"/>
        <family val="2"/>
      </rPr>
      <t>2</t>
    </r>
  </si>
  <si>
    <t>350HP-WT, 36' JD-455 Drill</t>
  </si>
  <si>
    <t>Custom Aerial, 1 pt Dimethoate</t>
  </si>
  <si>
    <t>Imidan 70</t>
  </si>
  <si>
    <t>0.33 pt Dimethoate</t>
  </si>
  <si>
    <t xml:space="preserve">Custom Aerial, 1 lb Imidan 70, </t>
  </si>
  <si>
    <t>Value</t>
  </si>
  <si>
    <t>Purchased</t>
  </si>
  <si>
    <t>Life</t>
  </si>
  <si>
    <t>of Use</t>
  </si>
  <si>
    <t>&amp; Labor)</t>
  </si>
  <si>
    <t>Fuel/Hr.</t>
  </si>
  <si>
    <t>Licenses</t>
  </si>
  <si>
    <t>Multiplier</t>
  </si>
  <si>
    <t>per Hour</t>
  </si>
  <si>
    <t>$</t>
  </si>
  <si>
    <t>%</t>
  </si>
  <si>
    <t>Tractors, ATVs:</t>
  </si>
  <si>
    <t>4WD-ATV</t>
  </si>
  <si>
    <t>Equipment:</t>
  </si>
  <si>
    <t>10-Bottom Plow</t>
  </si>
  <si>
    <t>23' Chisel Plow</t>
  </si>
  <si>
    <t>40' Heavy Harrow</t>
  </si>
  <si>
    <t>60' Flex Harrow</t>
  </si>
  <si>
    <t>36' JD 455 Drill</t>
  </si>
  <si>
    <t>Trucks:</t>
  </si>
  <si>
    <t>Miles/year:</t>
  </si>
  <si>
    <t>MPG:</t>
  </si>
  <si>
    <t>2-Ton Truck</t>
  </si>
  <si>
    <t>Trap Wagon</t>
  </si>
  <si>
    <t xml:space="preserve">Machinery Repairs </t>
  </si>
  <si>
    <t>Lentil Seed</t>
  </si>
  <si>
    <t>InPlace</t>
  </si>
  <si>
    <t>Total Costs per Acre</t>
  </si>
  <si>
    <t>Total Cost per Unit</t>
  </si>
  <si>
    <t>Returns to Risk</t>
  </si>
  <si>
    <t>Notes:</t>
  </si>
  <si>
    <t>Breakeven Analysis:</t>
  </si>
  <si>
    <t>-</t>
  </si>
  <si>
    <t>Base</t>
  </si>
  <si>
    <t>+</t>
  </si>
  <si>
    <t>Yield</t>
  </si>
  <si>
    <t>Adjuvants:</t>
  </si>
  <si>
    <t xml:space="preserve">  Repairs </t>
  </si>
  <si>
    <t xml:space="preserve">  Fuel</t>
  </si>
  <si>
    <t>0.75-Ton 4WD Pickup</t>
  </si>
  <si>
    <t>50HP Wheel Tractor</t>
  </si>
  <si>
    <t>36' JD455 Drill</t>
  </si>
  <si>
    <t>36' Cultivator with Harrow</t>
  </si>
  <si>
    <t>Operating Costs ($/acre):</t>
  </si>
  <si>
    <t>Total Cost</t>
  </si>
  <si>
    <t xml:space="preserve">  Interest</t>
  </si>
  <si>
    <t xml:space="preserve">  Taxes, Housing, Insurance, License</t>
  </si>
  <si>
    <t xml:space="preserve">  Total Ownership Costs</t>
  </si>
  <si>
    <t>Machinery Loan/investment</t>
  </si>
  <si>
    <t>20 lb K, 10 lb S</t>
  </si>
  <si>
    <t>Cultivate/Spray/Harrow</t>
  </si>
  <si>
    <t>Aerial Spray</t>
  </si>
  <si>
    <t>Airplane</t>
  </si>
  <si>
    <t>**In a crop- and cost-share arrangement, the landowner and the farm manager split the crop and the specified costs, typically fertilizer, chemicals</t>
  </si>
  <si>
    <t>Cash rent</t>
  </si>
  <si>
    <t>Cash rent:</t>
  </si>
  <si>
    <t>Crop &amp; Cost</t>
  </si>
  <si>
    <t>Share**</t>
  </si>
  <si>
    <t>and crop insurance.</t>
  </si>
  <si>
    <t>Starane</t>
  </si>
  <si>
    <t>50 oz Ammonium Sulfate, 1.5 oz M90</t>
  </si>
  <si>
    <t>200 lb Seed</t>
  </si>
  <si>
    <t>45 lb Seed</t>
  </si>
  <si>
    <t>130 lb Seed</t>
  </si>
  <si>
    <t>Spray Weeds</t>
  </si>
  <si>
    <t>Hard Red Spring Wheat</t>
  </si>
  <si>
    <t>Spring Pea Seed</t>
  </si>
  <si>
    <t>Axial</t>
  </si>
  <si>
    <t>Brox M</t>
  </si>
  <si>
    <t>Capture</t>
  </si>
  <si>
    <t>Gas (gal)</t>
  </si>
  <si>
    <t>Lentils</t>
  </si>
  <si>
    <t>Pea Seed</t>
  </si>
  <si>
    <t>Spring Barley (SB)</t>
  </si>
  <si>
    <t>Peas (P)</t>
  </si>
  <si>
    <t>Lentils (L)</t>
  </si>
  <si>
    <t>Spring Canola (SC)</t>
  </si>
  <si>
    <t>By Rotation:</t>
  </si>
  <si>
    <t>WW, SWSW, P</t>
  </si>
  <si>
    <t>WW, SB, P</t>
  </si>
  <si>
    <t>WW, SWSW, L</t>
  </si>
  <si>
    <t>WW, SB, L</t>
  </si>
  <si>
    <t>Fungicides:</t>
  </si>
  <si>
    <t>qt</t>
  </si>
  <si>
    <t>90 lb Seed</t>
  </si>
  <si>
    <t>Custom &amp; Consultants:</t>
  </si>
  <si>
    <t>Other:</t>
  </si>
  <si>
    <t>April</t>
  </si>
  <si>
    <t>Crop Insurance</t>
  </si>
  <si>
    <t>Per Acre</t>
  </si>
  <si>
    <t>Unit</t>
  </si>
  <si>
    <t>Cost</t>
  </si>
  <si>
    <t>Quilt</t>
  </si>
  <si>
    <t>Garbanzo Seed</t>
  </si>
  <si>
    <t>Canola</t>
  </si>
  <si>
    <t>Ammonium Sulfate</t>
  </si>
  <si>
    <t>90' Rental Sprayer</t>
  </si>
  <si>
    <t>26' Rental Shredder</t>
  </si>
  <si>
    <t>36' Ripper Shooter</t>
  </si>
  <si>
    <t>Fertilizer Applicator</t>
  </si>
  <si>
    <t>Variable Costs</t>
  </si>
  <si>
    <t>Custom Rental:</t>
  </si>
  <si>
    <t>Price</t>
  </si>
  <si>
    <t>Operating Cost Breakeven</t>
  </si>
  <si>
    <t>Ownership Cost Breakeven</t>
  </si>
  <si>
    <t>Storage Facility &amp; Equip. Repairs</t>
  </si>
  <si>
    <t>Machinery Labor</t>
  </si>
  <si>
    <t>Surfactant, 1.7 lb Ammonium Sulfate</t>
  </si>
  <si>
    <t>12 oz BroxM, 5 oz InPlace, 3.2 oz Ammonium Sulfate</t>
  </si>
  <si>
    <t>85 lb Seed</t>
  </si>
  <si>
    <t>Fuel:</t>
  </si>
  <si>
    <t>Rental Ripper Shooter, 100 lb N, 15 lb P,</t>
  </si>
  <si>
    <t>Rental Ripper Shooter, 80 lb N, 15 lb P,</t>
  </si>
  <si>
    <t>10 lb S</t>
  </si>
  <si>
    <t>Pesticides:</t>
  </si>
  <si>
    <t>Soft White Spring Wheat (SWSW)</t>
  </si>
  <si>
    <t>Diesel, offroad, bulk (gal)</t>
  </si>
  <si>
    <t>hour</t>
  </si>
  <si>
    <t>Operating Loan</t>
  </si>
  <si>
    <t>percent</t>
  </si>
  <si>
    <t xml:space="preserve">of the land is chiseled (hills). </t>
  </si>
  <si>
    <t>Total Cost Breakeven</t>
  </si>
  <si>
    <t>lb</t>
  </si>
  <si>
    <t>acre</t>
  </si>
  <si>
    <t>oz</t>
  </si>
  <si>
    <t>Crop insurance</t>
  </si>
  <si>
    <t xml:space="preserve">Rental Ripper Shooter, 90 lb N, 30 lb P, </t>
  </si>
  <si>
    <t xml:space="preserve">10 lb S </t>
  </si>
  <si>
    <t>Rental Ripper Shooter</t>
  </si>
  <si>
    <t>Harrow, 90' Sprayer</t>
  </si>
  <si>
    <t>Custom Aerial Spray</t>
  </si>
  <si>
    <t>Cost/Acre</t>
  </si>
  <si>
    <t>Gross Returns</t>
  </si>
  <si>
    <t>Seed:</t>
  </si>
  <si>
    <t>WW, SWSW, SC</t>
  </si>
  <si>
    <t>WW, SB, SC</t>
  </si>
  <si>
    <t>Hard Red Spring Wheat (HRSW)</t>
  </si>
  <si>
    <t>SB</t>
  </si>
  <si>
    <t>P</t>
  </si>
  <si>
    <t>L</t>
  </si>
  <si>
    <t>Custom Aerial</t>
  </si>
  <si>
    <t>Pursuit</t>
  </si>
  <si>
    <t>Prowl</t>
  </si>
  <si>
    <t>Dimethoate</t>
  </si>
  <si>
    <t>Garbanzos</t>
  </si>
  <si>
    <t>Fertilizer:</t>
  </si>
  <si>
    <t>June</t>
  </si>
  <si>
    <t>*Harvest canola at 1.5 mph (half as fast as grain crops).</t>
  </si>
  <si>
    <t>Total</t>
  </si>
  <si>
    <t>Returns</t>
  </si>
  <si>
    <t>Land</t>
  </si>
  <si>
    <t xml:space="preserve">Returns </t>
  </si>
  <si>
    <t xml:space="preserve">Yield </t>
  </si>
  <si>
    <t>Revenue</t>
  </si>
  <si>
    <t>over TC</t>
  </si>
  <si>
    <t>Variable</t>
  </si>
  <si>
    <t>over VC</t>
  </si>
  <si>
    <t>By Crop:</t>
  </si>
  <si>
    <t>per acre</t>
  </si>
  <si>
    <t>per unit</t>
  </si>
  <si>
    <t>($/acre)</t>
  </si>
  <si>
    <t>Winter Wheat (WW)</t>
  </si>
  <si>
    <t>Ripper Shooter</t>
  </si>
  <si>
    <t>Total Fixed Costs</t>
  </si>
  <si>
    <t>Fixed Costs per Unit</t>
  </si>
  <si>
    <t>Total Variable Costs</t>
  </si>
  <si>
    <t>Variable Costs per Unit</t>
  </si>
  <si>
    <t>Net Returns Above Variable Costs</t>
  </si>
  <si>
    <t>Barley</t>
  </si>
  <si>
    <t>ton</t>
  </si>
  <si>
    <t>Barley Seed</t>
  </si>
  <si>
    <t>Hard Red Wheat</t>
  </si>
  <si>
    <t>Hard Red Wheat Seed</t>
  </si>
  <si>
    <t>Other Labor</t>
  </si>
  <si>
    <t>Drill</t>
  </si>
  <si>
    <t>Soft White Wheat</t>
  </si>
  <si>
    <t>Soft White Wheat Seed</t>
  </si>
  <si>
    <t>Peas</t>
  </si>
  <si>
    <t>Plow</t>
  </si>
  <si>
    <t>Chisel</t>
  </si>
  <si>
    <t>Potassium (dry)</t>
  </si>
  <si>
    <t>Rental Ripper Shooter, 130 lb N, 15 lb P,</t>
  </si>
  <si>
    <t>Quantity</t>
  </si>
  <si>
    <t>Price or</t>
  </si>
  <si>
    <t>Value or</t>
  </si>
  <si>
    <t>Item</t>
  </si>
  <si>
    <t>Achieve SC</t>
  </si>
  <si>
    <t>Quadris</t>
  </si>
  <si>
    <t>Wheat</t>
  </si>
  <si>
    <t>bu</t>
  </si>
  <si>
    <t>Wheat Seed</t>
  </si>
  <si>
    <t>Amm. Sulf. (20-0-0-24)</t>
  </si>
  <si>
    <t>Cultiweed</t>
  </si>
  <si>
    <t>Cultivate/Harrow</t>
  </si>
  <si>
    <t>Rental Sprayer</t>
  </si>
  <si>
    <t>Osprey</t>
  </si>
  <si>
    <t>8 oz Starane, 5 oz InPlace, 3.2 oz Amm. Sulf</t>
  </si>
  <si>
    <t>Finesse</t>
  </si>
  <si>
    <t>Maverick</t>
  </si>
  <si>
    <t>Land Cost*</t>
  </si>
  <si>
    <t>*Based on Share Rent Percentage:</t>
  </si>
  <si>
    <t xml:space="preserve">  Landlord</t>
  </si>
  <si>
    <t xml:space="preserve">  Tenant</t>
  </si>
  <si>
    <t>Fungicide:</t>
  </si>
  <si>
    <t>October</t>
  </si>
  <si>
    <t>Harrow</t>
  </si>
  <si>
    <t>Crop Prices:</t>
  </si>
  <si>
    <t>September</t>
  </si>
  <si>
    <t>May</t>
  </si>
  <si>
    <t>Roundup</t>
  </si>
  <si>
    <t>Surfactant</t>
  </si>
  <si>
    <t>pt</t>
  </si>
  <si>
    <t>75/25</t>
  </si>
  <si>
    <t>Custom Aerial, 8 oz Quadris Fungicide</t>
  </si>
  <si>
    <t>Rental Sprayer, 3 oz Pursuit, 24 oz Prowl,</t>
  </si>
  <si>
    <t>15 lb S</t>
  </si>
  <si>
    <t xml:space="preserve">of the land is plowed (bottom lands). </t>
  </si>
  <si>
    <t xml:space="preserve">Fuel </t>
  </si>
  <si>
    <t>Lubricants</t>
  </si>
  <si>
    <t>gal</t>
  </si>
  <si>
    <t>Month</t>
  </si>
  <si>
    <t>August</t>
  </si>
  <si>
    <t>Operation</t>
  </si>
  <si>
    <t>March</t>
  </si>
  <si>
    <t>Tooling</t>
  </si>
  <si>
    <t>Materials/Service</t>
  </si>
  <si>
    <t>Harvest</t>
  </si>
  <si>
    <t>Ammonium Sulfate, 1.5 oz M90</t>
  </si>
  <si>
    <t>SC</t>
  </si>
  <si>
    <t>SWSW</t>
  </si>
  <si>
    <t>LEGEND:</t>
  </si>
  <si>
    <t>HRSW</t>
  </si>
  <si>
    <t>Starane+Sword</t>
  </si>
  <si>
    <t>350HP Wheel Tractor with:</t>
  </si>
  <si>
    <t>Harvest*</t>
  </si>
  <si>
    <t>Syltac Sticker</t>
  </si>
  <si>
    <t>Amm. Sulf. (liquid)</t>
  </si>
  <si>
    <t>Note: Farm size is assumed to be 2500 acres for the purposes of machinery cost calculations. In the spreadsheet version of this bulletin, per hour machinery costs can be changed in this master table and they will be updated throughout the bulletin. Per acre costs are calculated in the Machine Cost program using the values listed in the Machinery Complement tab.</t>
  </si>
  <si>
    <t>Total Ownership Costs</t>
  </si>
  <si>
    <t>Kathleen Painter, PhD</t>
  </si>
  <si>
    <t>University of Idaho</t>
  </si>
  <si>
    <t>kpainter@uidaho.edu</t>
  </si>
  <si>
    <t>Crop-Share</t>
  </si>
  <si>
    <t>Cost (TC)</t>
  </si>
  <si>
    <t>67/33</t>
  </si>
  <si>
    <t>Percentage</t>
  </si>
  <si>
    <t>Share</t>
  </si>
  <si>
    <t>Graphical Summary of Returns by Crop and Rotation ($/acre)</t>
  </si>
  <si>
    <r>
      <t>Legend:</t>
    </r>
    <r>
      <rPr>
        <b/>
        <i/>
        <sz val="12"/>
        <rFont val="Arial"/>
        <family val="2"/>
      </rPr>
      <t xml:space="preserve"> Follow directions below to preserve equations in this spreadsheet.</t>
    </r>
  </si>
  <si>
    <t>Note: Farm size is assumed to be 2500 acres for the purposes of machinery cost calculations.</t>
  </si>
  <si>
    <t xml:space="preserve">  Depre-ciation</t>
  </si>
  <si>
    <t>Overhead:</t>
  </si>
  <si>
    <t>Canola Seed, Roundup Ready</t>
  </si>
  <si>
    <t>Sulfur (liquid)</t>
  </si>
  <si>
    <t>insecticide</t>
  </si>
  <si>
    <t>Poast 1.5 EC</t>
  </si>
  <si>
    <t>Prowl 3.3 EC</t>
  </si>
  <si>
    <t>Dimethoate 4EC</t>
  </si>
  <si>
    <t>Ownership Costs:</t>
  </si>
  <si>
    <t>Net Returns over Total Costs, or Returns to Risk</t>
  </si>
  <si>
    <t>Axial XL</t>
  </si>
  <si>
    <t>fungicide</t>
  </si>
  <si>
    <r>
      <t>Operating Interest</t>
    </r>
    <r>
      <rPr>
        <vertAlign val="superscript"/>
        <sz val="10"/>
        <rFont val="Arial"/>
        <family val="2"/>
      </rPr>
      <t>1</t>
    </r>
  </si>
  <si>
    <r>
      <t>Management fee</t>
    </r>
    <r>
      <rPr>
        <vertAlign val="superscript"/>
        <sz val="10"/>
        <rFont val="Arial"/>
        <family val="2"/>
      </rPr>
      <t>3</t>
    </r>
  </si>
  <si>
    <t>Other labor</t>
  </si>
  <si>
    <t>Hourly machine labor</t>
  </si>
  <si>
    <t>Management fee:</t>
  </si>
  <si>
    <r>
      <t>Overhead</t>
    </r>
    <r>
      <rPr>
        <vertAlign val="superscript"/>
        <sz val="10"/>
        <rFont val="Arial"/>
        <family val="2"/>
      </rPr>
      <t>3</t>
    </r>
  </si>
  <si>
    <r>
      <t>Management fee</t>
    </r>
    <r>
      <rPr>
        <vertAlign val="superscript"/>
        <sz val="10"/>
        <rFont val="Arial"/>
        <family val="2"/>
      </rPr>
      <t>4</t>
    </r>
  </si>
  <si>
    <t xml:space="preserve">  Lubri-cants</t>
  </si>
  <si>
    <t xml:space="preserve">  Depreci-ation</t>
  </si>
  <si>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</si>
  <si>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</si>
  <si>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r>
      <rPr>
        <vertAlign val="superscript"/>
        <sz val="10"/>
        <rFont val="Arial"/>
        <family val="2"/>
      </rPr>
      <t>3</t>
    </r>
    <r>
      <rPr>
        <sz val="10"/>
        <rFont val="Arial"/>
        <family val="2"/>
      </rPr>
      <t>Covers legal, accounting, and utility fees. Calculated as 2.5% of operating expenses.</t>
    </r>
  </si>
  <si>
    <r>
      <rPr>
        <vertAlign val="superscript"/>
        <sz val="10"/>
        <rFont val="Arial"/>
        <family val="2"/>
      </rPr>
      <t>4</t>
    </r>
    <r>
      <rPr>
        <sz val="10"/>
        <rFont val="Arial"/>
        <family val="2"/>
      </rPr>
      <t xml:space="preserve">The management fee is calculated as a 5% of gross revenue. </t>
    </r>
  </si>
  <si>
    <t>80 lb seed</t>
  </si>
  <si>
    <t xml:space="preserve">Base your rate on your soil test results. </t>
  </si>
  <si>
    <t>A typical recommendation might include the following:</t>
  </si>
  <si>
    <t xml:space="preserve">Fertilizer: </t>
  </si>
  <si>
    <t>Rates &amp; chemicals will depend on the pests in your crop.</t>
  </si>
  <si>
    <t>Consult a certified pesticide applicator or the PNW Pest Control Management Guides.</t>
  </si>
  <si>
    <t>The following cost estimates are typical:</t>
  </si>
  <si>
    <t>Feed Barley</t>
  </si>
  <si>
    <t>100 lb Seed</t>
  </si>
  <si>
    <t xml:space="preserve">  Taxes, Housing, Insurance, Licenses</t>
  </si>
  <si>
    <t>Custom</t>
  </si>
  <si>
    <t xml:space="preserve">Custom Aerial, 5 oz Capture </t>
  </si>
  <si>
    <t>Rental Sprayer, 12 oz Roundup Orig Max, 50 oz</t>
  </si>
  <si>
    <t>4 lb Canola Seed, Roundup Ready</t>
  </si>
  <si>
    <t>Oats</t>
  </si>
  <si>
    <t>Summer Fallow</t>
  </si>
  <si>
    <t>Far-GO</t>
  </si>
  <si>
    <t>Yellow Mustard</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</si>
  <si>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</si>
  <si>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</si>
  <si>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</si>
  <si>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Covers legal, accounting, and utility fees. Calculated as percentage of operating expenses.</t>
    </r>
  </si>
  <si>
    <r>
      <rPr>
        <vertAlign val="superscript"/>
        <sz val="10"/>
        <rFont val="Arial"/>
        <family val="2"/>
      </rPr>
      <t>4</t>
    </r>
    <r>
      <rPr>
        <sz val="10"/>
        <rFont val="Arial"/>
        <family val="2"/>
      </rPr>
      <t>Calculated as a percentage of gross revenue.</t>
    </r>
  </si>
  <si>
    <t>Winter wheat</t>
  </si>
  <si>
    <t>Soft white spring wheat</t>
  </si>
  <si>
    <t>Hard red spring wheat</t>
  </si>
  <si>
    <t>Feed barley</t>
  </si>
  <si>
    <t>Spring peas</t>
  </si>
  <si>
    <t>Spring lentils</t>
  </si>
  <si>
    <t>Spring canola</t>
  </si>
  <si>
    <t>Yellow mustard</t>
  </si>
  <si>
    <t>herbicide</t>
  </si>
  <si>
    <t>Ally 60 XP</t>
  </si>
  <si>
    <t>Assure II EC</t>
  </si>
  <si>
    <t>Pursuit WDG</t>
  </si>
  <si>
    <t>Quadris Opti</t>
  </si>
  <si>
    <t>Click on links below to go to enterprise budgets:</t>
  </si>
  <si>
    <t>Orange Type: You may adjust data in orange type. All other data will adjust automatically to these changes.</t>
  </si>
  <si>
    <t>Orange Type: You may adjust data in orange type &amp; all other data will be updated.</t>
  </si>
  <si>
    <t>Table 1. Summary of Returns by Crop and Rotation ($/acre)</t>
  </si>
  <si>
    <t>Click on link below to access the following budgets:</t>
  </si>
  <si>
    <t>Purple: Data are from Summary page (purple tab).</t>
  </si>
  <si>
    <t>Orange Cells: You may adjust data in orange type and all other data will be updated.</t>
  </si>
  <si>
    <t>Green: Data are from Input Costs page (green tab).</t>
  </si>
  <si>
    <t>Blue: Data are from the Machinery page (blue tab).</t>
  </si>
  <si>
    <t>Green: Data are from Input costs page (green tab).</t>
  </si>
  <si>
    <t>Operator Share</t>
  </si>
  <si>
    <t>Owner Share</t>
  </si>
  <si>
    <t>Graph 1. Net Returns over Total Costs by Crop ($/acre)</t>
  </si>
  <si>
    <t>2,4-DB</t>
  </si>
  <si>
    <t>Glyphosphate (R-up Power Max.)</t>
  </si>
  <si>
    <t>36' Cultiweeder, used</t>
  </si>
  <si>
    <t>Sept</t>
  </si>
  <si>
    <t>Barley Seed (Champion)</t>
  </si>
  <si>
    <t>Soft White Winter Wheat (PVPs)</t>
  </si>
  <si>
    <t>Dark Northern Spring Wheat (PVP)</t>
  </si>
  <si>
    <t>Soft White Spring Wheat (PVPs)</t>
  </si>
  <si>
    <t>Phosphorous</t>
  </si>
  <si>
    <t>Headline</t>
  </si>
  <si>
    <t>Austrian Winter Peas</t>
  </si>
  <si>
    <t>Basagran</t>
  </si>
  <si>
    <t>Lorox DF</t>
  </si>
  <si>
    <t>Asana XL</t>
  </si>
  <si>
    <t>Mustang Max</t>
  </si>
  <si>
    <t>Austrian Winter Pea Seed</t>
  </si>
  <si>
    <t>Austrian winter peas</t>
  </si>
  <si>
    <t>350HP-WT, 23' Chisel</t>
  </si>
  <si>
    <t>Austrian Winter Peas (AWP)</t>
  </si>
  <si>
    <t>Camelina</t>
  </si>
  <si>
    <t>Select the Rotation:</t>
  </si>
  <si>
    <t>WW, SWSW, YM</t>
  </si>
  <si>
    <t>WW, SWSW, F</t>
  </si>
  <si>
    <t>WW, SB, YM</t>
  </si>
  <si>
    <t>WW, SB, F</t>
  </si>
  <si>
    <t>Phosphorous (liquid)</t>
  </si>
  <si>
    <t>Nitrogen</t>
  </si>
  <si>
    <t>Sulfur</t>
  </si>
  <si>
    <t>Potassium</t>
  </si>
  <si>
    <t>Spray</t>
  </si>
  <si>
    <t>Dark Northern Spring Wheat</t>
  </si>
  <si>
    <t>Capital recovery</t>
  </si>
  <si>
    <t>40' Grain Trailer &amp; Tractor</t>
  </si>
  <si>
    <t>36' Ripper Shooter (Rental)</t>
  </si>
  <si>
    <t>40' Ripper Shooter (Rental)</t>
  </si>
  <si>
    <t>40'Grain Trailer+Tractor</t>
  </si>
  <si>
    <t>200HP FWA Tractor</t>
  </si>
  <si>
    <t>100' Pull Sprayer</t>
  </si>
  <si>
    <t>50HP-WT w/Bucket</t>
  </si>
  <si>
    <t>200HP Wheel Tractor with:</t>
  </si>
  <si>
    <t>36' Combine</t>
  </si>
  <si>
    <t>Bankout Wagon</t>
  </si>
  <si>
    <t>36' Cultivator w/Harrow</t>
  </si>
  <si>
    <t>3/4-Ton Pickup</t>
  </si>
  <si>
    <t>350HP-WT</t>
  </si>
  <si>
    <t>50HP Wheel Tractor w/ Bucket</t>
  </si>
  <si>
    <t>Bankout Wagon w/ 350HP</t>
  </si>
  <si>
    <t>100' Sprayer w/ 200HP</t>
  </si>
  <si>
    <t>100' Spayer</t>
  </si>
  <si>
    <t>36' JD455 Drill w/ 350HP</t>
  </si>
  <si>
    <t>36' Cultiweeder w/ 350HP</t>
  </si>
  <si>
    <t>23' Chisel Plow w/ 350HP</t>
  </si>
  <si>
    <t>10 Bottom Plow w/ 350HP</t>
  </si>
  <si>
    <t>40' Heavy Harrow w/ 350HP</t>
  </si>
  <si>
    <t>36' Ripper Shooter w/ 350HP</t>
  </si>
  <si>
    <t>60' Flex Harrow w/ 200HP</t>
  </si>
  <si>
    <t>100' Sprayer</t>
  </si>
  <si>
    <t xml:space="preserve">Bankout Wagon </t>
  </si>
  <si>
    <t>200HP-WT, 100' Sprayer</t>
  </si>
  <si>
    <t>200HP-WT, 60' Flex Harrow</t>
  </si>
  <si>
    <t>24 oz Roundup, 6.4 oz</t>
  </si>
  <si>
    <t>3 oz Pursuit, 24 oz Prowl,</t>
  </si>
  <si>
    <t xml:space="preserve">8.2 oz Axial, 22 oz </t>
  </si>
  <si>
    <t xml:space="preserve">8.2 oz Axial, 12 oz Brox M, </t>
  </si>
  <si>
    <t xml:space="preserve">8.2 oz Axial, 8 oz Starane, </t>
  </si>
  <si>
    <t>Custom Aerial, 14 oz Quilt, .5 pt Syltac Sticker</t>
  </si>
  <si>
    <r>
      <t xml:space="preserve">Custom Aerial, </t>
    </r>
    <r>
      <rPr>
        <sz val="10"/>
        <rFont val="Arial"/>
        <family val="2"/>
      </rPr>
      <t>14 oz Quilt, .5 pt Syltac Sticker</t>
    </r>
  </si>
  <si>
    <t>4.75 oz Osprey, 22 oz Starane+Salvo,</t>
  </si>
  <si>
    <t>3.2 oz Excel 90, 1.6 oz Brox M</t>
  </si>
  <si>
    <t>FarGO 4EC</t>
  </si>
  <si>
    <t>Bronate Advanced (Brox M Ultra)</t>
  </si>
  <si>
    <t>Bronate (Brox M)</t>
  </si>
  <si>
    <t>Capture LFR</t>
  </si>
  <si>
    <t>Rhomene (MCPA Amine, 4 lb/gal)</t>
  </si>
  <si>
    <t>Buffer Spectrum pH</t>
  </si>
  <si>
    <r>
      <t>1</t>
    </r>
    <r>
      <rPr>
        <sz val="10"/>
        <rFont val="Arial"/>
        <family val="2"/>
      </rPr>
      <t>Calculated as 5.75% interest on operating capital for 6 months.</t>
    </r>
  </si>
  <si>
    <r>
      <t>2</t>
    </r>
    <r>
      <rPr>
        <sz val="10"/>
        <rFont val="Arial"/>
        <family val="2"/>
      </rPr>
      <t>Calculated as 5.75% interest on operating capital for 6 months.</t>
    </r>
  </si>
  <si>
    <r>
      <t>1</t>
    </r>
    <r>
      <rPr>
        <sz val="10"/>
        <rFont val="Arial"/>
        <family val="2"/>
      </rPr>
      <t>Calculated as 5.75% interest on operating capital for 9 months.</t>
    </r>
  </si>
  <si>
    <t>Nitrogen, anhydrous</t>
  </si>
  <si>
    <t>1 qt FarGO</t>
  </si>
  <si>
    <r>
      <t>Headline</t>
    </r>
    <r>
      <rPr>
        <vertAlign val="superscript"/>
        <sz val="10"/>
        <rFont val="Arial"/>
        <family val="2"/>
      </rPr>
      <t>1</t>
    </r>
  </si>
  <si>
    <r>
      <t>1</t>
    </r>
    <r>
      <rPr>
        <sz val="10"/>
        <rFont val="Arial"/>
        <family val="2"/>
      </rPr>
      <t>Spraying for rust is assumed to occur about half the time. Budget values are 50% of actual cost for wo sprays.</t>
    </r>
  </si>
  <si>
    <t>Truck Driver Labor</t>
  </si>
  <si>
    <t>Garbanzo Seed, large</t>
  </si>
  <si>
    <t>Starane Flex</t>
  </si>
  <si>
    <t>Assure ll</t>
  </si>
  <si>
    <t>Depreciation</t>
  </si>
  <si>
    <t>Interest</t>
  </si>
  <si>
    <t>Taxes, insurance, housing, licenses</t>
  </si>
  <si>
    <t>Agricultural Extension Educator</t>
  </si>
  <si>
    <t>PO Box 267</t>
  </si>
  <si>
    <t>Bonners Ferry ID 83805</t>
  </si>
  <si>
    <t>(208) 267-3235</t>
  </si>
  <si>
    <t>Discover .5 EC</t>
  </si>
  <si>
    <t>Machinery depreciation</t>
  </si>
  <si>
    <t>Machinery interest on investment</t>
  </si>
  <si>
    <t>Machinery taxes, insurance, housing, licenses</t>
  </si>
  <si>
    <t>12 oz Roundup</t>
  </si>
  <si>
    <t>Harrow and sprayer</t>
  </si>
  <si>
    <t>July</t>
  </si>
  <si>
    <t>Custom Aerial, 1 lb Imidan 70</t>
  </si>
  <si>
    <t>Spray Roundup</t>
  </si>
  <si>
    <t>14 oz Assure ll</t>
  </si>
  <si>
    <t>Pea leaf weevil spray</t>
  </si>
  <si>
    <t>Aphid or pea weevil spray</t>
  </si>
  <si>
    <t>Custom Spray</t>
  </si>
  <si>
    <t>Custom Ground Spray</t>
  </si>
  <si>
    <t>24 oz Basagran</t>
  </si>
  <si>
    <t>Custom ground spray</t>
  </si>
  <si>
    <t>Montana 2F</t>
  </si>
  <si>
    <t>Custom Aerial, 2.8 oz Montana 2F</t>
  </si>
  <si>
    <t>Machinery payments</t>
  </si>
  <si>
    <t>Acres:</t>
  </si>
  <si>
    <t>2011-2015</t>
  </si>
  <si>
    <t>Rotation</t>
  </si>
  <si>
    <t>cost/unit</t>
  </si>
  <si>
    <t>Price*</t>
  </si>
  <si>
    <t>*Average farmgate prices for Washington, Oregon, and Idaho for 2011-2015. Sources: USDA-NASS and USDA-AMS.</t>
  </si>
  <si>
    <t>Most profitable choice:</t>
  </si>
  <si>
    <t>Table 2. Input Cost Assumptions</t>
  </si>
  <si>
    <t>Source: Patterson, P.E. and K. Painter. 2013. 2013 Crop Input Cost Summary. Agriculture Economics Extension Series No. 13-03. University of Idaho.</t>
  </si>
  <si>
    <t>Chickpeas (CP)</t>
  </si>
  <si>
    <t>WW, HRSW, P</t>
  </si>
  <si>
    <t>WW, HRSW, L</t>
  </si>
  <si>
    <t>WW, HRSW, SC</t>
  </si>
  <si>
    <t>WW, HRSW, YM</t>
  </si>
  <si>
    <t>WW, HRSW, F</t>
  </si>
  <si>
    <t>Chickpeas</t>
  </si>
  <si>
    <t>WW, SWSW, CP</t>
  </si>
  <si>
    <t>WW, HRSW, CP</t>
  </si>
  <si>
    <t>WW, SB, CP</t>
  </si>
  <si>
    <t>Table 3. Production Costs for Soft White Winter Wheat, Annual Cropping Region</t>
  </si>
  <si>
    <t>Table 5. Production Costs for Soft White Spring Wheat, Annual Cropping Region</t>
  </si>
  <si>
    <t>Table 6. Schedule of Operations for Soft White Spring Wheat, Annual Cropping Region</t>
  </si>
  <si>
    <t>Table 7. Production Costs for Hard Red Spring Wheat, Annual Cropping Region</t>
  </si>
  <si>
    <t>Table 8. Schedule of Operations for Hard Red Spring Wheat, Annual Cropping Region</t>
  </si>
  <si>
    <t>Table 9. Production Costs for Spring Barley, Annual Cropping Region</t>
  </si>
  <si>
    <t>Table 10. Schedule of Operations for Spring Barley, Annual Cropping Region</t>
  </si>
  <si>
    <t>Table 11. Production Costs for Spring Peas, Annual Cropping Region</t>
  </si>
  <si>
    <t>Table 12. Schedule of Operations for Spring Peas, Annual Cropping Region</t>
  </si>
  <si>
    <t>Table 13. Production Costs for Austrian Winter Peas, Annual Cropping Region</t>
  </si>
  <si>
    <t>Table 14. Schedule of Operations for Austrian Winter Peas, Annual Cropping Region</t>
  </si>
  <si>
    <t>Table 15. Production Costs for Spring Lentils, Annual Cropping Region</t>
  </si>
  <si>
    <t>Table 16. Schedule of Operations for Spring Lentils, Annual Cropping Region</t>
  </si>
  <si>
    <t>Table 17. Production Costs for Chickpeas, Annual Cropping Region</t>
  </si>
  <si>
    <t>Table 18. Schedule of Operations for Chickpeas, Annual Cropping Region</t>
  </si>
  <si>
    <t>Table 19. Production Costs for Roundup Ready Spring Canola, Annual Cropping Region</t>
  </si>
  <si>
    <t>Table 20. Schedule of Operations for Spring Canola, Annual Cropping Region</t>
  </si>
  <si>
    <t>Table 21. Machinery Complement for Annual Cropping Region, Dryland Grain Rotations</t>
  </si>
  <si>
    <t>Table 22. Machinery Costs ($/acre) from the University of Idaho Machinery Cost Calculator</t>
  </si>
  <si>
    <r>
      <t xml:space="preserve">Table 23. Machinery Costs for Conventional Tillage </t>
    </r>
    <r>
      <rPr>
        <b/>
        <sz val="11"/>
        <color indexed="10"/>
        <rFont val="Arial"/>
        <family val="2"/>
      </rPr>
      <t>Soft White Winter Wheat</t>
    </r>
    <r>
      <rPr>
        <b/>
        <sz val="11"/>
        <rFont val="Arial"/>
        <family val="2"/>
      </rPr>
      <t xml:space="preserve"> ($/acre)</t>
    </r>
  </si>
  <si>
    <t xml:space="preserve"> Enterprise Budgets for the Dryland Grain Annual Cropping Region of the Pacific Northwest</t>
  </si>
  <si>
    <t>CP</t>
  </si>
  <si>
    <t>Soft White Winter Wheat (SWWW)</t>
  </si>
  <si>
    <t>Hard Red Winter Wheat (HRWW)</t>
  </si>
  <si>
    <t>Table 4. Schedule of Operations for Soft White Winter Wheat, Annual Cropping Region</t>
  </si>
  <si>
    <t xml:space="preserve">Rental Ripper Shooter, 120 lb N, 30 lb P, </t>
  </si>
  <si>
    <t xml:space="preserve">20 lb S </t>
  </si>
  <si>
    <t>95 lb Seed</t>
  </si>
  <si>
    <t>Topdress, Spray Weeds</t>
  </si>
  <si>
    <t>3.2 oz Excel 90, 1.6 oz Brox M, 30 lb N (aqua)</t>
  </si>
  <si>
    <t>Nitrogen, liquid (32-0-0)</t>
  </si>
  <si>
    <t>Hard Red Winter Wheat</t>
  </si>
  <si>
    <r>
      <t xml:space="preserve">Table 25. Machinery Costs for Conventional Tillage </t>
    </r>
    <r>
      <rPr>
        <b/>
        <sz val="11"/>
        <color indexed="10"/>
        <rFont val="Arial"/>
        <family val="2"/>
      </rPr>
      <t xml:space="preserve">Soft White Spring Wheat </t>
    </r>
    <r>
      <rPr>
        <b/>
        <sz val="11"/>
        <rFont val="Arial"/>
        <family val="2"/>
      </rPr>
      <t xml:space="preserve">($/acre) </t>
    </r>
  </si>
  <si>
    <r>
      <t xml:space="preserve">Table 26. Machinery Costs for Conventional Tillage </t>
    </r>
    <r>
      <rPr>
        <b/>
        <sz val="11"/>
        <color rgb="FFFF0000"/>
        <rFont val="Arial"/>
        <family val="2"/>
      </rPr>
      <t>Hard Red</t>
    </r>
    <r>
      <rPr>
        <b/>
        <sz val="11"/>
        <color indexed="10"/>
        <rFont val="Arial"/>
        <family val="2"/>
      </rPr>
      <t xml:space="preserve"> Spring Wheat</t>
    </r>
    <r>
      <rPr>
        <b/>
        <sz val="11"/>
        <rFont val="Arial"/>
        <family val="2"/>
      </rPr>
      <t xml:space="preserve"> ($/acre)</t>
    </r>
  </si>
  <si>
    <r>
      <t xml:space="preserve">Table 27. Machinery Costs for Conventional Tillage </t>
    </r>
    <r>
      <rPr>
        <b/>
        <sz val="11"/>
        <color indexed="10"/>
        <rFont val="Arial"/>
        <family val="2"/>
      </rPr>
      <t>Spring Barley</t>
    </r>
    <r>
      <rPr>
        <b/>
        <sz val="11"/>
        <rFont val="Arial"/>
        <family val="2"/>
      </rPr>
      <t xml:space="preserve"> ($/acre) </t>
    </r>
  </si>
  <si>
    <r>
      <t xml:space="preserve">Table 28. Machinery Costs for Conventional Tillage </t>
    </r>
    <r>
      <rPr>
        <b/>
        <sz val="11"/>
        <color indexed="10"/>
        <rFont val="Arial"/>
        <family val="2"/>
      </rPr>
      <t>Spring Peas</t>
    </r>
    <r>
      <rPr>
        <b/>
        <sz val="11"/>
        <rFont val="Arial"/>
        <family val="2"/>
      </rPr>
      <t xml:space="preserve"> ($/acre)</t>
    </r>
  </si>
  <si>
    <r>
      <t>Table 29. Machinery Costs for Conventional Tillage</t>
    </r>
    <r>
      <rPr>
        <b/>
        <sz val="11"/>
        <color indexed="10"/>
        <rFont val="Arial"/>
        <family val="2"/>
      </rPr>
      <t xml:space="preserve"> Austrian Winter Peas</t>
    </r>
    <r>
      <rPr>
        <b/>
        <sz val="11"/>
        <rFont val="Arial"/>
        <family val="2"/>
      </rPr>
      <t xml:space="preserve"> ($/acre)</t>
    </r>
  </si>
  <si>
    <r>
      <t xml:space="preserve">Table 30. Machinery Costs for Conventional Tillage </t>
    </r>
    <r>
      <rPr>
        <b/>
        <sz val="11"/>
        <color indexed="10"/>
        <rFont val="Arial"/>
        <family val="2"/>
      </rPr>
      <t>Spring Lentils</t>
    </r>
    <r>
      <rPr>
        <b/>
        <sz val="11"/>
        <rFont val="Arial"/>
        <family val="2"/>
      </rPr>
      <t xml:space="preserve"> ($/acre) </t>
    </r>
  </si>
  <si>
    <r>
      <t xml:space="preserve">Table 31. Machinery Costs for Conventional Tillage </t>
    </r>
    <r>
      <rPr>
        <b/>
        <sz val="11"/>
        <color indexed="10"/>
        <rFont val="Arial"/>
        <family val="2"/>
      </rPr>
      <t>Chickpeas</t>
    </r>
    <r>
      <rPr>
        <b/>
        <sz val="11"/>
        <rFont val="Arial"/>
        <family val="2"/>
      </rPr>
      <t xml:space="preserve"> ($/acre) </t>
    </r>
  </si>
  <si>
    <r>
      <t xml:space="preserve">Table 32. Machinery Costs for Conventional Tillage </t>
    </r>
    <r>
      <rPr>
        <b/>
        <sz val="11"/>
        <color indexed="10"/>
        <rFont val="Arial"/>
        <family val="2"/>
      </rPr>
      <t>Spring Canola</t>
    </r>
    <r>
      <rPr>
        <b/>
        <sz val="11"/>
        <rFont val="Arial"/>
        <family val="2"/>
      </rPr>
      <t xml:space="preserve"> ($/acre) </t>
    </r>
  </si>
  <si>
    <r>
      <t xml:space="preserve">Table 24. Machinery Costs for Conventional Tillage </t>
    </r>
    <r>
      <rPr>
        <b/>
        <sz val="11"/>
        <color rgb="FFFF0000"/>
        <rFont val="Arial"/>
        <family val="2"/>
      </rPr>
      <t>Hard Red</t>
    </r>
    <r>
      <rPr>
        <b/>
        <sz val="11"/>
        <color indexed="10"/>
        <rFont val="Arial"/>
        <family val="2"/>
      </rPr>
      <t xml:space="preserve"> Winter Wheat</t>
    </r>
    <r>
      <rPr>
        <b/>
        <sz val="11"/>
        <rFont val="Arial"/>
        <family val="2"/>
      </rPr>
      <t xml:space="preserve"> ($/acre)</t>
    </r>
  </si>
  <si>
    <t>Nitrogen, anhydrous, lb N</t>
  </si>
  <si>
    <t>Nitrogen, topdress, aqua, lb N</t>
  </si>
  <si>
    <t>HRWW</t>
  </si>
  <si>
    <t>SWWW</t>
  </si>
  <si>
    <t>SWWW, SWSW, P</t>
  </si>
  <si>
    <t>SWWW, SWSW, CP</t>
  </si>
  <si>
    <t>SWWW, SWSW, L</t>
  </si>
  <si>
    <t>SWWW, SWSW, SC</t>
  </si>
  <si>
    <t>SWWW, HRSW, P</t>
  </si>
  <si>
    <t>SWWW, HRSW, CP</t>
  </si>
  <si>
    <t>SWWW, HRSW, L</t>
  </si>
  <si>
    <t>SWWW, HRSW, SC</t>
  </si>
  <si>
    <t>SWWW, SB, P</t>
  </si>
  <si>
    <t>SWWW, SB, L</t>
  </si>
  <si>
    <t>SWWW, SB, CP</t>
  </si>
  <si>
    <t>SWWW, SB, SC</t>
  </si>
  <si>
    <t>HRWW, SWSW, P</t>
  </si>
  <si>
    <t>HRWW, SWSW, CP</t>
  </si>
  <si>
    <t>HRWW, SWSW, L</t>
  </si>
  <si>
    <t>HRWW, SWSW, SC</t>
  </si>
  <si>
    <t>HRWW, HRSW, P</t>
  </si>
  <si>
    <t>HRWW, HRSW, CP</t>
  </si>
  <si>
    <t>HRWW, HRSW, L</t>
  </si>
  <si>
    <t>HRWW, HRSW, SC</t>
  </si>
  <si>
    <t>HRWW, SB, P</t>
  </si>
  <si>
    <t>HRWW, SB, L</t>
  </si>
  <si>
    <t>HRWW, SB, CP</t>
  </si>
  <si>
    <t>HRWW, SB, SC</t>
  </si>
  <si>
    <t>Crop</t>
  </si>
  <si>
    <r>
      <t>Price</t>
    </r>
    <r>
      <rPr>
        <b/>
        <vertAlign val="superscript"/>
        <sz val="12"/>
        <rFont val="Arial"/>
        <family val="2"/>
      </rPr>
      <t>1</t>
    </r>
  </si>
  <si>
    <r>
      <rPr>
        <vertAlign val="superscript"/>
        <sz val="12"/>
        <rFont val="Arial"/>
        <family val="2"/>
      </rPr>
      <t>1</t>
    </r>
    <r>
      <rPr>
        <sz val="12"/>
        <rFont val="Arial"/>
        <family val="2"/>
      </rPr>
      <t>Average farmgate prices for Washington, Oregon, and Idaho for 2011-2015. Sources: USDA-NASS and USDA-AMS.</t>
    </r>
  </si>
  <si>
    <r>
      <t>Share</t>
    </r>
    <r>
      <rPr>
        <b/>
        <vertAlign val="superscript"/>
        <sz val="12"/>
        <rFont val="Arial"/>
        <family val="2"/>
      </rPr>
      <t>2</t>
    </r>
  </si>
  <si>
    <t>Operator Share/</t>
  </si>
  <si>
    <t>Table 3: Yield, Price, Revenue, Costs, and Net Returns by Crop ($/acre)</t>
  </si>
  <si>
    <r>
      <rPr>
        <vertAlign val="superscript"/>
        <sz val="12"/>
        <rFont val="Arial"/>
        <family val="2"/>
      </rPr>
      <t>2</t>
    </r>
    <r>
      <rPr>
        <sz val="12"/>
        <rFont val="Arial"/>
        <family val="2"/>
      </rPr>
      <t xml:space="preserve">In a crop- and cost-share arrangement, the landowner and the farm manager split the crop and specified costs. In these budgets, they split costs for fertilizer, chemicals </t>
    </r>
  </si>
  <si>
    <t>Table 4: Yield, Price, Revenue, Costs, and Net Returns by Rotation ($/acre/year)</t>
  </si>
  <si>
    <t>Table 5. Production Costs for Hard Red Winter Wheat, Annual Cropping Region</t>
  </si>
  <si>
    <t>Table 6. Schedule of Operations for Hard Red Winter Wheat, Annual Cropping Region</t>
  </si>
  <si>
    <t>most crops (with the exception of 75% for pulses) plus fire and hail insurance.</t>
  </si>
  <si>
    <r>
      <rPr>
        <vertAlign val="superscript"/>
        <sz val="10"/>
        <rFont val="Arial"/>
        <family val="2"/>
      </rPr>
      <t>1</t>
    </r>
    <r>
      <rPr>
        <sz val="10"/>
        <rFont val="Arial"/>
        <family val="2"/>
      </rPr>
      <t>Crop insurance estimates include multi-peril crop insurance covering 85% of production for</t>
    </r>
  </si>
  <si>
    <t>www.boundaryagblog.wordpress.com</t>
  </si>
  <si>
    <t>Using Conservation Tillage, 2016 Crop and Input Prices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</si>
</sst>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quot;$&quot;#,##0.0000"/>
    <numFmt numFmtId="168" formatCode="&quot;$&quot;#,##0.000"/>
    <numFmt numFmtId="169" formatCode="_(* #,##0_);_(* \(#,##0\);_(* &quot;-&quot;??_);_(@_)"/>
  </numFmts>
  <fonts count="77" x14ac:knownFonts="1">
    <font>
      <sz val="10"/>
      <name val="Arial"/>
    </font>
    <font>
      <sz val="11"/>
      <color theme="1"/>
      <name val="Calibri"/>
      <family val="2"/>
      <scheme val="minor"/>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10"/>
      <name val="Arial"/>
      <family val="2"/>
    </font>
    <font>
      <sz val="9"/>
      <name val="Arial"/>
      <family val="2"/>
    </font>
    <font>
      <i/>
      <sz val="9"/>
      <name val="Arial"/>
      <family val="2"/>
    </font>
    <font>
      <sz val="9"/>
      <name val="Arial"/>
      <family val="2"/>
    </font>
    <font>
      <b/>
      <sz val="10"/>
      <name val="Arial"/>
      <family val="2"/>
    </font>
    <font>
      <sz val="10"/>
      <name val="Arial"/>
      <family val="2"/>
    </font>
    <font>
      <b/>
      <sz val="10"/>
      <name val="Arial"/>
      <family val="2"/>
    </font>
    <font>
      <b/>
      <i/>
      <sz val="10"/>
      <name val="Arial"/>
      <family val="2"/>
    </font>
    <font>
      <vertAlign val="superscript"/>
      <sz val="10"/>
      <name val="Arial"/>
      <family val="2"/>
    </font>
    <font>
      <b/>
      <sz val="10"/>
      <name val="Arial"/>
      <family val="2"/>
    </font>
    <font>
      <b/>
      <i/>
      <sz val="12"/>
      <name val="Arial"/>
      <family val="2"/>
    </font>
    <font>
      <i/>
      <sz val="12"/>
      <name val="Arial"/>
      <family val="2"/>
    </font>
    <font>
      <u/>
      <sz val="12"/>
      <color indexed="12"/>
      <name val="Arial"/>
      <family val="2"/>
    </font>
    <font>
      <b/>
      <sz val="14"/>
      <name val="Arial"/>
      <family val="2"/>
    </font>
    <font>
      <sz val="14"/>
      <name val="Arial"/>
      <family val="2"/>
    </font>
    <font>
      <b/>
      <sz val="9"/>
      <name val="Arial"/>
      <family val="2"/>
    </font>
    <font>
      <b/>
      <i/>
      <sz val="9"/>
      <name val="Arial"/>
      <family val="2"/>
    </font>
    <font>
      <u/>
      <sz val="9"/>
      <color indexed="12"/>
      <name val="Arial"/>
      <family val="2"/>
    </font>
    <font>
      <sz val="10"/>
      <name val="Arial"/>
      <family val="2"/>
    </font>
    <font>
      <b/>
      <vertAlign val="superscript"/>
      <sz val="10"/>
      <name val="Arial"/>
      <family val="2"/>
    </font>
    <font>
      <sz val="10"/>
      <name val="Arial"/>
      <family val="2"/>
    </font>
    <font>
      <u/>
      <sz val="12"/>
      <name val="Arial"/>
      <family val="2"/>
    </font>
    <font>
      <b/>
      <sz val="11"/>
      <name val="Arial"/>
      <family val="2"/>
    </font>
    <font>
      <b/>
      <sz val="11"/>
      <color indexed="10"/>
      <name val="Arial"/>
      <family val="2"/>
    </font>
    <font>
      <u/>
      <sz val="11"/>
      <color indexed="12"/>
      <name val="Arial"/>
      <family val="2"/>
    </font>
    <font>
      <sz val="12"/>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sz val="12"/>
      <color rgb="FFFF3300"/>
      <name val="Arial"/>
      <family val="2"/>
    </font>
    <font>
      <b/>
      <sz val="10"/>
      <color rgb="FFFF6600"/>
      <name val="Arial"/>
      <family val="2"/>
    </font>
    <font>
      <b/>
      <sz val="12"/>
      <color theme="1"/>
      <name val="Arial"/>
      <family val="2"/>
    </font>
    <font>
      <sz val="10"/>
      <color rgb="FFFF3300"/>
      <name val="Arial"/>
      <family val="2"/>
    </font>
    <font>
      <b/>
      <sz val="10"/>
      <color rgb="FF7030A0"/>
      <name val="Arial"/>
      <family val="2"/>
    </font>
    <font>
      <sz val="10"/>
      <color rgb="FF7030A0"/>
      <name val="Arial"/>
      <family val="2"/>
    </font>
    <font>
      <sz val="10"/>
      <color rgb="FF006600"/>
      <name val="Arial"/>
      <family val="2"/>
    </font>
    <font>
      <b/>
      <sz val="10"/>
      <color rgb="FF0000FF"/>
      <name val="Arial"/>
      <family val="2"/>
    </font>
    <font>
      <i/>
      <sz val="12"/>
      <color rgb="FFFF0000"/>
      <name val="Arial"/>
      <family val="2"/>
    </font>
    <font>
      <sz val="9"/>
      <color theme="1"/>
      <name val="Arial"/>
      <family val="2"/>
    </font>
    <font>
      <sz val="10"/>
      <color theme="1"/>
      <name val="Arial"/>
      <family val="2"/>
    </font>
    <font>
      <sz val="12"/>
      <color rgb="FFFF0000"/>
      <name val="Arial"/>
      <family val="2"/>
    </font>
    <font>
      <b/>
      <sz val="10"/>
      <color rgb="FFFF0000"/>
      <name val="Arial"/>
      <family val="2"/>
    </font>
    <font>
      <sz val="12"/>
      <color theme="1"/>
      <name val="Arial"/>
      <family val="2"/>
    </font>
    <font>
      <b/>
      <sz val="12"/>
      <color rgb="FF7030A0"/>
      <name val="Arial"/>
      <family val="2"/>
    </font>
    <font>
      <b/>
      <sz val="12"/>
      <color rgb="FFFF3300"/>
      <name val="Arial"/>
      <family val="2"/>
    </font>
    <font>
      <b/>
      <sz val="12"/>
      <color rgb="FF006600"/>
      <name val="Arial"/>
      <family val="2"/>
    </font>
    <font>
      <b/>
      <sz val="12"/>
      <color rgb="FF0000FF"/>
      <name val="Arial"/>
      <family val="2"/>
    </font>
    <font>
      <sz val="12"/>
      <color rgb="FF0000FF"/>
      <name val="Arial"/>
      <family val="2"/>
    </font>
    <font>
      <b/>
      <sz val="11"/>
      <color rgb="FFFF3300"/>
      <name val="Arial"/>
      <family val="2"/>
    </font>
    <font>
      <b/>
      <sz val="11"/>
      <color rgb="FFFF0000"/>
      <name val="Arial"/>
      <family val="2"/>
    </font>
    <font>
      <b/>
      <vertAlign val="superscript"/>
      <sz val="12"/>
      <name val="Arial"/>
      <family val="2"/>
    </font>
    <font>
      <vertAlign val="superscript"/>
      <sz val="12"/>
      <name val="Arial"/>
      <family val="2"/>
    </font>
    <font>
      <sz val="11"/>
      <name val="Calibri"/>
      <family val="2"/>
    </font>
    <font>
      <sz val="11"/>
      <name val="Calibri"/>
      <family val="2"/>
      <scheme val="minor"/>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FF99"/>
        <bgColor indexed="64"/>
      </patternFill>
    </fill>
    <fill>
      <patternFill patternType="solid">
        <fgColor rgb="FFCCFFCC"/>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theme="1"/>
      </top>
      <bottom/>
      <diagonal/>
    </border>
  </borders>
  <cellStyleXfs count="5">
    <xf numFmtId="0" fontId="0" fillId="0" borderId="0"/>
    <xf numFmtId="43" fontId="42" fillId="0" borderId="0" applyFont="0" applyFill="0" applyBorder="0" applyAlignment="0" applyProtection="0"/>
    <xf numFmtId="0" fontId="9" fillId="0" borderId="0" applyNumberFormat="0" applyFill="0" applyBorder="0" applyAlignment="0" applyProtection="0">
      <alignment vertical="top"/>
      <protection locked="0"/>
    </xf>
    <xf numFmtId="9" fontId="40" fillId="0" borderId="0" applyFont="0" applyFill="0" applyBorder="0" applyAlignment="0" applyProtection="0"/>
    <xf numFmtId="0" fontId="3" fillId="0" borderId="0"/>
  </cellStyleXfs>
  <cellXfs count="621">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5"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Border="1" applyProtection="1">
      <protection locked="0"/>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164" fontId="0" fillId="3" borderId="0" xfId="0" applyNumberFormat="1" applyFill="1" applyAlignment="1" applyProtection="1">
      <alignment horizontal="left"/>
    </xf>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5"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6"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1" xfId="0" applyFill="1" applyBorder="1"/>
    <xf numFmtId="0" fontId="0" fillId="4" borderId="0" xfId="0" applyFill="1"/>
    <xf numFmtId="0" fontId="0" fillId="5" borderId="3" xfId="0" applyFill="1" applyBorder="1"/>
    <xf numFmtId="0" fontId="0" fillId="5" borderId="1" xfId="0" applyFill="1" applyBorder="1"/>
    <xf numFmtId="0" fontId="0" fillId="3" borderId="3" xfId="0" applyFill="1" applyBorder="1"/>
    <xf numFmtId="0" fontId="0" fillId="2" borderId="3" xfId="0" applyFill="1" applyBorder="1"/>
    <xf numFmtId="0" fontId="0" fillId="6" borderId="0" xfId="0" applyFill="1"/>
    <xf numFmtId="0" fontId="0" fillId="6" borderId="0" xfId="0" applyFill="1" applyAlignment="1">
      <alignment horizontal="center" vertical="center"/>
    </xf>
    <xf numFmtId="164" fontId="0" fillId="6"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8" fillId="6" borderId="0" xfId="0" applyFont="1" applyFill="1"/>
    <xf numFmtId="0" fontId="8" fillId="0" borderId="0" xfId="0" applyFont="1"/>
    <xf numFmtId="0" fontId="0" fillId="6" borderId="0" xfId="0" applyFill="1" applyAlignment="1"/>
    <xf numFmtId="0" fontId="4" fillId="4" borderId="0" xfId="0" applyFont="1" applyFill="1" applyAlignment="1" applyProtection="1">
      <alignment wrapText="1"/>
      <protection locked="0"/>
    </xf>
    <xf numFmtId="0" fontId="3" fillId="0" borderId="0" xfId="0" applyFont="1"/>
    <xf numFmtId="0" fontId="8" fillId="5" borderId="0" xfId="0" applyFont="1" applyFill="1" applyAlignment="1" applyProtection="1">
      <protection locked="0"/>
    </xf>
    <xf numFmtId="0" fontId="8" fillId="2" borderId="0" xfId="0" applyFont="1" applyFill="1"/>
    <xf numFmtId="0" fontId="8" fillId="2" borderId="0" xfId="0" applyFont="1" applyFill="1" applyAlignment="1">
      <alignment horizontal="center" vertical="center"/>
    </xf>
    <xf numFmtId="164" fontId="8" fillId="3" borderId="0" xfId="0" applyNumberFormat="1" applyFont="1" applyFill="1"/>
    <xf numFmtId="0" fontId="3" fillId="0" borderId="0" xfId="0" applyFont="1" applyProtection="1">
      <protection locked="0"/>
    </xf>
    <xf numFmtId="0" fontId="0" fillId="6" borderId="0" xfId="0" applyFill="1" applyBorder="1"/>
    <xf numFmtId="0" fontId="0" fillId="6" borderId="0" xfId="0" applyFill="1" applyBorder="1" applyAlignment="1">
      <alignment horizontal="center" vertical="center"/>
    </xf>
    <xf numFmtId="0" fontId="0" fillId="6"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8" fillId="2" borderId="1" xfId="0" applyFont="1" applyFill="1" applyBorder="1"/>
    <xf numFmtId="0" fontId="8" fillId="2" borderId="1" xfId="0" applyFont="1" applyFill="1" applyBorder="1" applyAlignment="1">
      <alignment horizontal="center"/>
    </xf>
    <xf numFmtId="0" fontId="8" fillId="2" borderId="1" xfId="0" applyFont="1" applyFill="1" applyBorder="1" applyAlignment="1">
      <alignment horizontal="center" vertical="center"/>
    </xf>
    <xf numFmtId="0" fontId="8" fillId="2" borderId="0" xfId="0" applyFont="1" applyFill="1" applyAlignment="1">
      <alignment horizontal="center"/>
    </xf>
    <xf numFmtId="0" fontId="11" fillId="2" borderId="0" xfId="0" applyFont="1" applyFill="1" applyAlignment="1">
      <alignment horizontal="center"/>
    </xf>
    <xf numFmtId="0" fontId="0" fillId="5" borderId="0" xfId="0" applyFill="1" applyBorder="1"/>
    <xf numFmtId="0" fontId="3" fillId="6" borderId="0" xfId="0" applyFont="1" applyFill="1"/>
    <xf numFmtId="0" fontId="3" fillId="2" borderId="0" xfId="0" applyFont="1" applyFill="1"/>
    <xf numFmtId="0" fontId="3" fillId="2" borderId="0" xfId="0" applyFont="1" applyFill="1" applyAlignment="1">
      <alignment horizontal="center" vertical="center"/>
    </xf>
    <xf numFmtId="164" fontId="3" fillId="3" borderId="0" xfId="0" applyNumberFormat="1" applyFont="1" applyFill="1"/>
    <xf numFmtId="0" fontId="0" fillId="2" borderId="0" xfId="0" applyFill="1" applyBorder="1" applyAlignment="1">
      <alignment horizontal="center"/>
    </xf>
    <xf numFmtId="16" fontId="0" fillId="2" borderId="0" xfId="0" applyNumberFormat="1" applyFill="1" applyAlignment="1">
      <alignment horizontal="center"/>
    </xf>
    <xf numFmtId="0" fontId="8" fillId="5" borderId="0" xfId="0" applyFont="1" applyFill="1" applyAlignment="1" applyProtection="1">
      <alignment horizontal="center"/>
      <protection locked="0"/>
    </xf>
    <xf numFmtId="0" fontId="3" fillId="2" borderId="0" xfId="0" applyFont="1" applyFill="1" applyAlignment="1">
      <alignment horizontal="center"/>
    </xf>
    <xf numFmtId="0" fontId="0" fillId="6" borderId="0" xfId="0" applyFill="1" applyBorder="1" applyAlignment="1">
      <alignment horizontal="center"/>
    </xf>
    <xf numFmtId="164" fontId="0" fillId="2" borderId="0" xfId="0" applyNumberFormat="1" applyFill="1" applyBorder="1" applyAlignment="1">
      <alignment horizontal="center"/>
    </xf>
    <xf numFmtId="0" fontId="0" fillId="2" borderId="2" xfId="0" applyFill="1" applyBorder="1" applyAlignment="1">
      <alignment horizontal="center"/>
    </xf>
    <xf numFmtId="164" fontId="0" fillId="0" borderId="0" xfId="0" applyNumberFormat="1" applyAlignment="1" applyProtection="1">
      <alignment horizontal="center"/>
    </xf>
    <xf numFmtId="2" fontId="0" fillId="0" borderId="0" xfId="0" applyNumberFormat="1" applyAlignment="1" applyProtection="1">
      <alignment horizontal="center"/>
    </xf>
    <xf numFmtId="0" fontId="12" fillId="6" borderId="0" xfId="0" applyFont="1" applyFill="1"/>
    <xf numFmtId="0" fontId="12" fillId="2" borderId="0" xfId="0" applyFont="1" applyFill="1"/>
    <xf numFmtId="0" fontId="12" fillId="2" borderId="0" xfId="0" applyFont="1" applyFill="1" applyAlignment="1">
      <alignment horizontal="center"/>
    </xf>
    <xf numFmtId="0" fontId="12" fillId="2" borderId="0" xfId="0" applyFont="1" applyFill="1" applyAlignment="1">
      <alignment horizontal="center" vertical="center"/>
    </xf>
    <xf numFmtId="0" fontId="12" fillId="3" borderId="0" xfId="0" applyFont="1" applyFill="1" applyAlignment="1">
      <alignment horizontal="center"/>
    </xf>
    <xf numFmtId="0" fontId="12" fillId="0" borderId="0" xfId="0" applyFont="1"/>
    <xf numFmtId="0" fontId="12" fillId="2" borderId="0" xfId="0" applyFont="1" applyFill="1" applyBorder="1" applyAlignment="1">
      <alignment horizontal="center"/>
    </xf>
    <xf numFmtId="0" fontId="12" fillId="4" borderId="1" xfId="0" applyFont="1" applyFill="1" applyBorder="1"/>
    <xf numFmtId="0" fontId="12" fillId="4" borderId="0" xfId="0" applyFont="1" applyFill="1"/>
    <xf numFmtId="0" fontId="3" fillId="3" borderId="1" xfId="0" applyFont="1" applyFill="1" applyBorder="1"/>
    <xf numFmtId="0" fontId="4" fillId="6" borderId="0" xfId="0" applyFont="1" applyFill="1"/>
    <xf numFmtId="0" fontId="4"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8" fillId="3" borderId="1" xfId="0" applyNumberFormat="1" applyFont="1" applyFill="1" applyBorder="1"/>
    <xf numFmtId="0" fontId="18" fillId="6" borderId="0" xfId="0" applyFont="1" applyFill="1" applyAlignment="1">
      <alignment horizontal="center"/>
    </xf>
    <xf numFmtId="164" fontId="0" fillId="6" borderId="0" xfId="0" applyNumberFormat="1" applyFill="1" applyAlignment="1">
      <alignment horizontal="center"/>
    </xf>
    <xf numFmtId="0" fontId="3" fillId="6" borderId="0" xfId="0" applyFont="1" applyFill="1" applyBorder="1"/>
    <xf numFmtId="0" fontId="22" fillId="6" borderId="0" xfId="0" applyFont="1" applyFill="1" applyBorder="1"/>
    <xf numFmtId="3" fontId="0" fillId="6" borderId="0" xfId="0" applyNumberFormat="1" applyFill="1" applyBorder="1" applyAlignment="1">
      <alignment horizontal="center"/>
    </xf>
    <xf numFmtId="0" fontId="23" fillId="6" borderId="0" xfId="0" applyFont="1" applyFill="1" applyBorder="1" applyAlignment="1">
      <alignment horizontal="center"/>
    </xf>
    <xf numFmtId="0" fontId="3" fillId="2" borderId="4" xfId="0" applyFont="1" applyFill="1" applyBorder="1"/>
    <xf numFmtId="0" fontId="3" fillId="2" borderId="5" xfId="0" applyFont="1" applyFill="1" applyBorder="1"/>
    <xf numFmtId="0" fontId="8" fillId="2" borderId="5" xfId="0" applyFont="1" applyFill="1" applyBorder="1" applyAlignment="1">
      <alignment horizontal="center"/>
    </xf>
    <xf numFmtId="0" fontId="3" fillId="2" borderId="6" xfId="0" applyFont="1" applyFill="1" applyBorder="1"/>
    <xf numFmtId="0" fontId="3" fillId="2" borderId="7" xfId="0" applyFont="1" applyFill="1" applyBorder="1"/>
    <xf numFmtId="0" fontId="3" fillId="2" borderId="8" xfId="0" applyFont="1" applyFill="1" applyBorder="1"/>
    <xf numFmtId="0" fontId="8" fillId="2" borderId="8" xfId="0" applyFont="1" applyFill="1" applyBorder="1" applyAlignment="1">
      <alignment horizontal="center"/>
    </xf>
    <xf numFmtId="0" fontId="3" fillId="2" borderId="9" xfId="0" applyFont="1" applyFill="1" applyBorder="1"/>
    <xf numFmtId="3" fontId="3" fillId="2" borderId="7" xfId="0" applyNumberFormat="1" applyFont="1" applyFill="1" applyBorder="1" applyAlignment="1">
      <alignment horizontal="center"/>
    </xf>
    <xf numFmtId="3" fontId="3" fillId="2" borderId="8" xfId="0" applyNumberFormat="1" applyFont="1" applyFill="1" applyBorder="1" applyAlignment="1">
      <alignment horizontal="center"/>
    </xf>
    <xf numFmtId="3" fontId="8" fillId="2" borderId="8" xfId="0" applyNumberFormat="1" applyFont="1" applyFill="1" applyBorder="1" applyAlignment="1">
      <alignment horizontal="center"/>
    </xf>
    <xf numFmtId="3" fontId="8" fillId="2" borderId="9" xfId="0" applyNumberFormat="1" applyFont="1" applyFill="1" applyBorder="1" applyAlignment="1">
      <alignment horizontal="center"/>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xf>
    <xf numFmtId="0" fontId="8" fillId="2" borderId="9" xfId="0" applyFont="1" applyFill="1" applyBorder="1" applyAlignment="1">
      <alignment horizontal="center"/>
    </xf>
    <xf numFmtId="0" fontId="8" fillId="2" borderId="7" xfId="0" applyFont="1" applyFill="1" applyBorder="1" applyAlignment="1">
      <alignment horizontal="center"/>
    </xf>
    <xf numFmtId="0" fontId="8" fillId="2" borderId="7" xfId="0" applyFont="1" applyFill="1" applyBorder="1"/>
    <xf numFmtId="0" fontId="0" fillId="7" borderId="10" xfId="0" applyFill="1" applyBorder="1" applyAlignment="1"/>
    <xf numFmtId="0" fontId="25" fillId="7" borderId="10" xfId="0" applyFont="1" applyFill="1" applyBorder="1"/>
    <xf numFmtId="3" fontId="25" fillId="7" borderId="10" xfId="0" applyNumberFormat="1" applyFont="1" applyFill="1" applyBorder="1" applyAlignment="1">
      <alignment horizontal="center"/>
    </xf>
    <xf numFmtId="0" fontId="23" fillId="7" borderId="10" xfId="0" applyFont="1" applyFill="1" applyBorder="1" applyAlignment="1">
      <alignment horizontal="center"/>
    </xf>
    <xf numFmtId="0" fontId="25" fillId="7" borderId="10" xfId="0" applyFont="1" applyFill="1" applyBorder="1" applyAlignment="1">
      <alignment horizontal="center"/>
    </xf>
    <xf numFmtId="3" fontId="25" fillId="7" borderId="10" xfId="0" applyNumberFormat="1" applyFont="1" applyFill="1" applyBorder="1" applyAlignment="1">
      <alignment horizontal="right"/>
    </xf>
    <xf numFmtId="0" fontId="25" fillId="7" borderId="10" xfId="0" applyFont="1" applyFill="1" applyBorder="1" applyAlignment="1">
      <alignment horizontal="right"/>
    </xf>
    <xf numFmtId="0" fontId="25" fillId="7" borderId="10" xfId="0" applyFont="1" applyFill="1" applyBorder="1" applyAlignment="1"/>
    <xf numFmtId="0" fontId="0" fillId="7" borderId="10" xfId="0" applyFill="1" applyBorder="1" applyAlignment="1">
      <alignment horizontal="center"/>
    </xf>
    <xf numFmtId="0" fontId="23" fillId="7" borderId="10" xfId="0" applyFont="1" applyFill="1" applyBorder="1" applyAlignment="1"/>
    <xf numFmtId="1" fontId="23" fillId="7" borderId="10" xfId="0" applyNumberFormat="1" applyFont="1" applyFill="1" applyBorder="1" applyAlignment="1">
      <alignment horizontal="center"/>
    </xf>
    <xf numFmtId="3" fontId="22" fillId="7" borderId="10" xfId="0" applyNumberFormat="1" applyFont="1" applyFill="1" applyBorder="1" applyAlignment="1">
      <alignment horizontal="center"/>
    </xf>
    <xf numFmtId="0" fontId="22" fillId="7" borderId="10" xfId="0" applyFont="1" applyFill="1" applyBorder="1" applyAlignment="1">
      <alignment horizontal="center"/>
    </xf>
    <xf numFmtId="0" fontId="22" fillId="7" borderId="10" xfId="0" applyFont="1" applyFill="1" applyBorder="1" applyAlignment="1"/>
    <xf numFmtId="1" fontId="25" fillId="7" borderId="10" xfId="0" applyNumberFormat="1" applyFont="1" applyFill="1" applyBorder="1" applyAlignment="1">
      <alignment horizontal="center"/>
    </xf>
    <xf numFmtId="0" fontId="24" fillId="7" borderId="11" xfId="0" applyFont="1" applyFill="1" applyBorder="1"/>
    <xf numFmtId="3" fontId="25" fillId="7" borderId="2" xfId="0" applyNumberFormat="1" applyFont="1" applyFill="1" applyBorder="1" applyAlignment="1">
      <alignment horizontal="center"/>
    </xf>
    <xf numFmtId="0" fontId="23" fillId="7" borderId="2" xfId="0" applyFont="1" applyFill="1" applyBorder="1" applyAlignment="1">
      <alignment horizontal="center"/>
    </xf>
    <xf numFmtId="0" fontId="25" fillId="7" borderId="2" xfId="0" applyFont="1" applyFill="1" applyBorder="1" applyAlignment="1">
      <alignment horizontal="center"/>
    </xf>
    <xf numFmtId="0" fontId="25" fillId="7" borderId="2" xfId="0" applyFont="1" applyFill="1" applyBorder="1" applyAlignment="1">
      <alignment horizontal="right"/>
    </xf>
    <xf numFmtId="0" fontId="25" fillId="7" borderId="12" xfId="0" applyFont="1" applyFill="1" applyBorder="1" applyAlignment="1">
      <alignment horizontal="right"/>
    </xf>
    <xf numFmtId="0" fontId="0" fillId="6" borderId="0" xfId="0" applyNumberFormat="1" applyFill="1"/>
    <xf numFmtId="0" fontId="4" fillId="6" borderId="0" xfId="0" applyFont="1" applyFill="1" applyBorder="1"/>
    <xf numFmtId="0" fontId="10" fillId="2" borderId="0" xfId="0" applyFont="1" applyFill="1" applyBorder="1" applyAlignment="1">
      <alignment horizontal="left"/>
    </xf>
    <xf numFmtId="165" fontId="25" fillId="7" borderId="10" xfId="0" applyNumberFormat="1" applyFont="1" applyFill="1" applyBorder="1" applyAlignment="1">
      <alignment horizontal="right"/>
    </xf>
    <xf numFmtId="0" fontId="27" fillId="0" borderId="0" xfId="0" applyFont="1" applyFill="1" applyAlignment="1" applyProtection="1">
      <protection locked="0"/>
    </xf>
    <xf numFmtId="0" fontId="3" fillId="0" borderId="0" xfId="0" applyFont="1" applyFill="1" applyProtection="1">
      <protection locked="0"/>
    </xf>
    <xf numFmtId="2" fontId="0" fillId="2" borderId="2" xfId="0" applyNumberFormat="1" applyFill="1" applyBorder="1" applyAlignment="1">
      <alignment horizontal="center"/>
    </xf>
    <xf numFmtId="164" fontId="0" fillId="3" borderId="1" xfId="0" applyNumberFormat="1" applyFill="1" applyBorder="1"/>
    <xf numFmtId="165" fontId="0" fillId="2" borderId="2" xfId="0" applyNumberFormat="1" applyFill="1" applyBorder="1" applyAlignment="1">
      <alignment horizontal="center"/>
    </xf>
    <xf numFmtId="0" fontId="0" fillId="2" borderId="2" xfId="0" applyNumberFormat="1" applyFill="1" applyBorder="1" applyAlignment="1">
      <alignment horizontal="center"/>
    </xf>
    <xf numFmtId="164" fontId="26" fillId="3" borderId="0" xfId="0" applyNumberFormat="1" applyFont="1" applyFill="1" applyBorder="1" applyAlignment="1">
      <alignment horizontal="left"/>
    </xf>
    <xf numFmtId="164" fontId="26" fillId="3" borderId="1" xfId="0" applyNumberFormat="1" applyFont="1" applyFill="1" applyBorder="1" applyAlignment="1">
      <alignment horizontal="left"/>
    </xf>
    <xf numFmtId="164" fontId="31" fillId="3" borderId="13" xfId="0" applyNumberFormat="1" applyFont="1" applyFill="1" applyBorder="1" applyAlignment="1">
      <alignment horizontal="left"/>
    </xf>
    <xf numFmtId="0" fontId="15" fillId="0" borderId="0" xfId="0" applyFont="1" applyProtection="1">
      <protection locked="0"/>
    </xf>
    <xf numFmtId="0" fontId="15" fillId="6" borderId="0" xfId="0" applyFont="1" applyFill="1"/>
    <xf numFmtId="164" fontId="31" fillId="3" borderId="14" xfId="0" applyNumberFormat="1" applyFont="1" applyFill="1" applyBorder="1" applyAlignment="1">
      <alignment horizontal="left"/>
    </xf>
    <xf numFmtId="164" fontId="20" fillId="3" borderId="5" xfId="0" applyNumberFormat="1" applyFont="1" applyFill="1" applyBorder="1" applyAlignment="1">
      <alignment horizontal="center"/>
    </xf>
    <xf numFmtId="0" fontId="19" fillId="7" borderId="14" xfId="0" applyFont="1" applyFill="1" applyBorder="1"/>
    <xf numFmtId="0" fontId="0" fillId="7" borderId="0" xfId="0" applyFill="1" applyBorder="1"/>
    <xf numFmtId="0" fontId="0" fillId="7" borderId="14" xfId="0" applyFill="1" applyBorder="1"/>
    <xf numFmtId="0" fontId="0" fillId="7" borderId="13" xfId="0" applyFill="1" applyBorder="1"/>
    <xf numFmtId="0" fontId="0" fillId="7" borderId="1" xfId="0" applyFill="1" applyBorder="1"/>
    <xf numFmtId="0" fontId="8" fillId="7" borderId="14" xfId="0" applyFont="1" applyFill="1" applyBorder="1"/>
    <xf numFmtId="0" fontId="0" fillId="7" borderId="5" xfId="0" applyFill="1" applyBorder="1"/>
    <xf numFmtId="164" fontId="20" fillId="7" borderId="5" xfId="0" applyNumberFormat="1" applyFont="1" applyFill="1" applyBorder="1" applyAlignment="1">
      <alignment horizontal="center"/>
    </xf>
    <xf numFmtId="164" fontId="3" fillId="7" borderId="5" xfId="0" applyNumberFormat="1" applyFont="1" applyFill="1" applyBorder="1" applyAlignment="1">
      <alignment horizontal="center"/>
    </xf>
    <xf numFmtId="164" fontId="21" fillId="7" borderId="5" xfId="0" applyNumberFormat="1" applyFont="1" applyFill="1" applyBorder="1" applyAlignment="1">
      <alignment horizontal="center"/>
    </xf>
    <xf numFmtId="164" fontId="3" fillId="7" borderId="6" xfId="0" applyNumberFormat="1" applyFont="1" applyFill="1" applyBorder="1" applyAlignment="1">
      <alignment horizontal="center"/>
    </xf>
    <xf numFmtId="164" fontId="0" fillId="7" borderId="0" xfId="0" applyNumberFormat="1" applyFill="1" applyBorder="1" applyAlignment="1">
      <alignment horizontal="center"/>
    </xf>
    <xf numFmtId="0" fontId="12" fillId="6" borderId="1" xfId="0" applyFont="1" applyFill="1" applyBorder="1"/>
    <xf numFmtId="0" fontId="12" fillId="6" borderId="1" xfId="0" applyFont="1" applyFill="1" applyBorder="1" applyAlignment="1">
      <alignment horizontal="center"/>
    </xf>
    <xf numFmtId="0" fontId="12" fillId="6" borderId="1" xfId="0" applyFont="1" applyFill="1" applyBorder="1" applyAlignment="1">
      <alignment horizontal="center" vertical="center"/>
    </xf>
    <xf numFmtId="0" fontId="10" fillId="6" borderId="1" xfId="0" applyFont="1" applyFill="1" applyBorder="1" applyAlignment="1"/>
    <xf numFmtId="0" fontId="0" fillId="6" borderId="1" xfId="0" applyFill="1" applyBorder="1" applyAlignment="1"/>
    <xf numFmtId="0" fontId="4" fillId="7" borderId="2" xfId="0" applyFont="1" applyFill="1" applyBorder="1"/>
    <xf numFmtId="0" fontId="0" fillId="6" borderId="1" xfId="0"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10" fillId="6" borderId="1" xfId="0" applyFont="1" applyFill="1" applyBorder="1" applyAlignment="1">
      <alignment wrapText="1"/>
    </xf>
    <xf numFmtId="0" fontId="16" fillId="6" borderId="1" xfId="0" applyFont="1" applyFill="1" applyBorder="1" applyAlignment="1">
      <alignment wrapText="1"/>
    </xf>
    <xf numFmtId="0" fontId="22" fillId="6" borderId="1" xfId="0" applyFont="1" applyFill="1" applyBorder="1" applyAlignment="1"/>
    <xf numFmtId="0" fontId="4" fillId="7" borderId="0" xfId="0" applyFont="1" applyFill="1"/>
    <xf numFmtId="0" fontId="10" fillId="6" borderId="1" xfId="0" applyFont="1" applyFill="1" applyBorder="1" applyAlignment="1" applyProtection="1">
      <protection locked="0"/>
    </xf>
    <xf numFmtId="0" fontId="4" fillId="6" borderId="1" xfId="0" applyFont="1" applyFill="1" applyBorder="1" applyAlignment="1" applyProtection="1">
      <alignment wrapText="1"/>
      <protection locked="0"/>
    </xf>
    <xf numFmtId="0" fontId="4" fillId="6" borderId="1" xfId="0" applyFont="1" applyFill="1" applyBorder="1" applyAlignment="1" applyProtection="1">
      <alignment horizontal="center" wrapText="1"/>
      <protection locked="0"/>
    </xf>
    <xf numFmtId="0" fontId="14" fillId="6" borderId="0" xfId="0" applyFont="1" applyFill="1" applyBorder="1"/>
    <xf numFmtId="0" fontId="12" fillId="6" borderId="0" xfId="0" applyFont="1" applyFill="1" applyBorder="1"/>
    <xf numFmtId="0" fontId="3" fillId="7" borderId="14" xfId="0" applyFont="1" applyFill="1" applyBorder="1"/>
    <xf numFmtId="0" fontId="3" fillId="7" borderId="0" xfId="0" applyFont="1" applyFill="1" applyBorder="1" applyAlignment="1">
      <alignment horizontal="left"/>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39" fontId="0" fillId="0" borderId="0" xfId="0" applyNumberFormat="1" applyFill="1" applyAlignment="1" applyProtection="1">
      <alignment horizontal="center"/>
    </xf>
    <xf numFmtId="0" fontId="3" fillId="6" borderId="0" xfId="0" applyFont="1" applyFill="1" applyAlignment="1">
      <alignment horizontal="center"/>
    </xf>
    <xf numFmtId="0" fontId="9" fillId="6" borderId="0" xfId="2" applyFill="1" applyAlignment="1" applyProtection="1">
      <alignment horizontal="center"/>
    </xf>
    <xf numFmtId="0" fontId="9" fillId="0" borderId="0" xfId="2" applyAlignment="1" applyProtection="1"/>
    <xf numFmtId="0" fontId="0" fillId="9" borderId="0" xfId="0" applyFill="1"/>
    <xf numFmtId="1" fontId="0" fillId="9" borderId="0" xfId="0" applyNumberFormat="1" applyFill="1" applyAlignment="1">
      <alignment horizontal="center"/>
    </xf>
    <xf numFmtId="2" fontId="0" fillId="9" borderId="0" xfId="0" applyNumberFormat="1" applyFill="1"/>
    <xf numFmtId="0" fontId="0" fillId="9" borderId="0" xfId="0" applyFill="1" applyAlignment="1">
      <alignment vertical="center"/>
    </xf>
    <xf numFmtId="0" fontId="13" fillId="9" borderId="0" xfId="0" applyFont="1" applyFill="1" applyBorder="1" applyAlignment="1">
      <alignment horizontal="left"/>
    </xf>
    <xf numFmtId="2" fontId="13" fillId="9" borderId="0" xfId="0" applyNumberFormat="1" applyFont="1" applyFill="1"/>
    <xf numFmtId="0" fontId="5" fillId="9" borderId="0" xfId="0" applyFont="1" applyFill="1" applyAlignment="1">
      <alignment horizontal="center"/>
    </xf>
    <xf numFmtId="0" fontId="0" fillId="9" borderId="0" xfId="0" applyFill="1" applyAlignment="1" applyProtection="1">
      <alignment horizontal="center"/>
      <protection locked="0"/>
    </xf>
    <xf numFmtId="166" fontId="0" fillId="9" borderId="0" xfId="0" applyNumberFormat="1" applyFill="1"/>
    <xf numFmtId="0" fontId="16" fillId="9" borderId="0" xfId="0" applyFont="1" applyFill="1"/>
    <xf numFmtId="0" fontId="17" fillId="9" borderId="0" xfId="0" applyFont="1" applyFill="1"/>
    <xf numFmtId="0" fontId="0" fillId="9" borderId="0" xfId="0" applyFill="1" applyAlignment="1">
      <alignment horizontal="center"/>
    </xf>
    <xf numFmtId="164" fontId="0" fillId="9" borderId="0" xfId="0" applyNumberFormat="1" applyFill="1" applyAlignment="1"/>
    <xf numFmtId="0" fontId="13" fillId="9" borderId="0" xfId="0" applyFont="1" applyFill="1"/>
    <xf numFmtId="0" fontId="8" fillId="9" borderId="0" xfId="0" applyFont="1" applyFill="1" applyAlignment="1">
      <alignment horizontal="center"/>
    </xf>
    <xf numFmtId="0" fontId="13" fillId="9" borderId="0" xfId="0" applyFont="1" applyFill="1" applyProtection="1">
      <protection locked="0"/>
    </xf>
    <xf numFmtId="164" fontId="0" fillId="9" borderId="0" xfId="0" applyNumberFormat="1" applyFill="1" applyAlignment="1">
      <alignment horizontal="center"/>
    </xf>
    <xf numFmtId="0" fontId="15" fillId="9" borderId="0" xfId="0" applyFont="1" applyFill="1" applyAlignment="1">
      <alignment horizontal="center"/>
    </xf>
    <xf numFmtId="0" fontId="28" fillId="9" borderId="0" xfId="0" applyFont="1" applyFill="1"/>
    <xf numFmtId="166" fontId="13" fillId="9" borderId="0" xfId="0" applyNumberFormat="1" applyFont="1" applyFill="1"/>
    <xf numFmtId="0" fontId="0" fillId="9" borderId="0" xfId="0" applyFill="1" applyAlignment="1">
      <alignment vertical="center"/>
    </xf>
    <xf numFmtId="0" fontId="10" fillId="9" borderId="0" xfId="0" applyFont="1" applyFill="1" applyBorder="1" applyAlignment="1">
      <alignment vertical="center"/>
    </xf>
    <xf numFmtId="164" fontId="0" fillId="7" borderId="1" xfId="0" applyNumberFormat="1" applyFill="1" applyBorder="1" applyAlignment="1">
      <alignment horizontal="center"/>
    </xf>
    <xf numFmtId="0" fontId="12" fillId="2" borderId="0" xfId="0" applyFont="1" applyFill="1" applyBorder="1"/>
    <xf numFmtId="0" fontId="12" fillId="2" borderId="0" xfId="0" applyFont="1" applyFill="1" applyBorder="1" applyAlignment="1">
      <alignment horizontal="center" vertical="center"/>
    </xf>
    <xf numFmtId="0" fontId="12" fillId="3" borderId="0" xfId="0" applyFont="1" applyFill="1" applyBorder="1" applyAlignment="1">
      <alignment horizontal="center"/>
    </xf>
    <xf numFmtId="0" fontId="12" fillId="2" borderId="3" xfId="0" applyFont="1" applyFill="1" applyBorder="1"/>
    <xf numFmtId="0" fontId="12" fillId="2" borderId="3" xfId="0" applyFont="1" applyFill="1" applyBorder="1" applyAlignment="1">
      <alignment horizontal="center"/>
    </xf>
    <xf numFmtId="0" fontId="12" fillId="2" borderId="3" xfId="0" applyFont="1" applyFill="1" applyBorder="1" applyAlignment="1">
      <alignment horizontal="center" vertical="center"/>
    </xf>
    <xf numFmtId="0" fontId="12" fillId="3" borderId="3" xfId="0" applyFont="1" applyFill="1" applyBorder="1" applyAlignment="1">
      <alignment horizontal="center"/>
    </xf>
    <xf numFmtId="0" fontId="4" fillId="6" borderId="0" xfId="0" applyFont="1" applyFill="1" applyAlignment="1">
      <alignment horizontal="center"/>
    </xf>
    <xf numFmtId="1" fontId="4" fillId="6" borderId="0" xfId="0" applyNumberFormat="1" applyFont="1" applyFill="1" applyAlignment="1">
      <alignment horizontal="center"/>
    </xf>
    <xf numFmtId="44" fontId="10" fillId="6" borderId="0" xfId="0" applyNumberFormat="1" applyFont="1" applyFill="1"/>
    <xf numFmtId="0" fontId="4" fillId="9" borderId="0" xfId="0" applyFont="1" applyFill="1"/>
    <xf numFmtId="0" fontId="4" fillId="9" borderId="0" xfId="0" applyFont="1" applyFill="1" applyBorder="1"/>
    <xf numFmtId="0" fontId="4" fillId="0" borderId="0" xfId="0" applyFont="1" applyFill="1" applyBorder="1"/>
    <xf numFmtId="0" fontId="4" fillId="2" borderId="0" xfId="0" applyFont="1" applyFill="1" applyAlignment="1"/>
    <xf numFmtId="0" fontId="4" fillId="0" borderId="0" xfId="0" applyFont="1" applyBorder="1"/>
    <xf numFmtId="0" fontId="33" fillId="2" borderId="0" xfId="0" applyFont="1" applyFill="1"/>
    <xf numFmtId="0" fontId="4" fillId="2" borderId="0" xfId="0" applyFont="1" applyFill="1" applyAlignment="1">
      <alignment horizontal="center"/>
    </xf>
    <xf numFmtId="1" fontId="4" fillId="2" borderId="0" xfId="0" applyNumberFormat="1" applyFont="1" applyFill="1" applyAlignment="1">
      <alignment horizontal="center"/>
    </xf>
    <xf numFmtId="0" fontId="4" fillId="2" borderId="0" xfId="0" applyFont="1" applyFill="1"/>
    <xf numFmtId="44" fontId="10" fillId="2" borderId="0" xfId="0" applyNumberFormat="1" applyFont="1" applyFill="1"/>
    <xf numFmtId="0" fontId="4" fillId="5" borderId="0" xfId="0" applyFont="1" applyFill="1" applyAlignment="1">
      <alignment horizontal="center"/>
    </xf>
    <xf numFmtId="0" fontId="33" fillId="2" borderId="0" xfId="0" applyFont="1" applyFill="1" applyAlignment="1"/>
    <xf numFmtId="0" fontId="10" fillId="2" borderId="0" xfId="0" applyFont="1" applyFill="1" applyAlignment="1">
      <alignment horizontal="center"/>
    </xf>
    <xf numFmtId="0" fontId="10" fillId="2" borderId="0" xfId="0" applyFont="1" applyFill="1"/>
    <xf numFmtId="166" fontId="10" fillId="2" borderId="0" xfId="0" applyNumberFormat="1" applyFont="1" applyFill="1" applyAlignment="1">
      <alignment horizontal="center"/>
    </xf>
    <xf numFmtId="0" fontId="10" fillId="5" borderId="0" xfId="0" applyFont="1" applyFill="1" applyAlignment="1">
      <alignment horizontal="center"/>
    </xf>
    <xf numFmtId="0" fontId="4" fillId="2" borderId="0" xfId="0" applyFont="1" applyFill="1" applyBorder="1"/>
    <xf numFmtId="0" fontId="10" fillId="2" borderId="0" xfId="0" applyFont="1" applyFill="1" applyBorder="1" applyAlignment="1">
      <alignment horizontal="center"/>
    </xf>
    <xf numFmtId="1" fontId="10" fillId="2" borderId="0" xfId="0" applyNumberFormat="1" applyFont="1" applyFill="1" applyBorder="1" applyAlignment="1">
      <alignment horizontal="center"/>
    </xf>
    <xf numFmtId="44" fontId="10" fillId="2" borderId="0" xfId="0" applyNumberFormat="1" applyFont="1" applyFill="1" applyBorder="1" applyAlignment="1">
      <alignment horizontal="center"/>
    </xf>
    <xf numFmtId="166" fontId="10" fillId="2" borderId="0" xfId="0" applyNumberFormat="1" applyFont="1" applyFill="1" applyBorder="1" applyAlignment="1">
      <alignment horizontal="center"/>
    </xf>
    <xf numFmtId="0" fontId="10" fillId="5" borderId="0" xfId="0" applyFont="1" applyFill="1" applyBorder="1" applyAlignment="1">
      <alignment horizontal="center"/>
    </xf>
    <xf numFmtId="0" fontId="10" fillId="2" borderId="1" xfId="0" applyFont="1" applyFill="1" applyBorder="1"/>
    <xf numFmtId="0" fontId="10" fillId="2" borderId="1" xfId="0" applyFont="1" applyFill="1" applyBorder="1" applyAlignment="1">
      <alignment horizontal="center"/>
    </xf>
    <xf numFmtId="1" fontId="10" fillId="5" borderId="1" xfId="0" applyNumberFormat="1" applyFont="1" applyFill="1" applyBorder="1" applyAlignment="1">
      <alignment horizontal="center"/>
    </xf>
    <xf numFmtId="44" fontId="10" fillId="5" borderId="1" xfId="0" applyNumberFormat="1" applyFont="1" applyFill="1" applyBorder="1" applyAlignment="1">
      <alignment horizontal="center"/>
    </xf>
    <xf numFmtId="1" fontId="4" fillId="9" borderId="0" xfId="0" applyNumberFormat="1" applyFont="1" applyFill="1" applyAlignment="1">
      <alignment horizontal="left"/>
    </xf>
    <xf numFmtId="1" fontId="4" fillId="9" borderId="0" xfId="0" applyNumberFormat="1" applyFont="1" applyFill="1" applyAlignment="1">
      <alignment horizontal="center"/>
    </xf>
    <xf numFmtId="166" fontId="4" fillId="9" borderId="0" xfId="0" applyNumberFormat="1" applyFont="1" applyFill="1" applyAlignment="1">
      <alignment horizontal="center"/>
    </xf>
    <xf numFmtId="1" fontId="4" fillId="9" borderId="1" xfId="0" applyNumberFormat="1" applyFont="1" applyFill="1" applyBorder="1" applyAlignment="1">
      <alignment horizontal="left"/>
    </xf>
    <xf numFmtId="1" fontId="4" fillId="9" borderId="1" xfId="0" applyNumberFormat="1" applyFont="1" applyFill="1" applyBorder="1" applyAlignment="1">
      <alignment horizontal="center"/>
    </xf>
    <xf numFmtId="166" fontId="4" fillId="9" borderId="1" xfId="0" applyNumberFormat="1" applyFont="1" applyFill="1" applyBorder="1" applyAlignment="1">
      <alignment horizontal="center"/>
    </xf>
    <xf numFmtId="0" fontId="4" fillId="9" borderId="1" xfId="0" applyFont="1" applyFill="1" applyBorder="1"/>
    <xf numFmtId="1" fontId="4" fillId="5" borderId="0" xfId="0" applyNumberFormat="1" applyFont="1" applyFill="1" applyBorder="1" applyAlignment="1">
      <alignment horizontal="left"/>
    </xf>
    <xf numFmtId="1" fontId="4" fillId="5" borderId="0" xfId="0" applyNumberFormat="1" applyFont="1" applyFill="1" applyBorder="1" applyAlignment="1">
      <alignment horizontal="center"/>
    </xf>
    <xf numFmtId="166" fontId="4" fillId="5" borderId="0" xfId="0" applyNumberFormat="1" applyFont="1" applyFill="1" applyBorder="1" applyAlignment="1">
      <alignment horizontal="center"/>
    </xf>
    <xf numFmtId="1" fontId="4" fillId="2" borderId="0" xfId="0" applyNumberFormat="1" applyFont="1" applyFill="1" applyBorder="1" applyAlignment="1">
      <alignment horizontal="left"/>
    </xf>
    <xf numFmtId="1" fontId="4" fillId="2" borderId="0" xfId="0" applyNumberFormat="1" applyFont="1" applyFill="1" applyBorder="1" applyAlignment="1">
      <alignment horizontal="center"/>
    </xf>
    <xf numFmtId="166" fontId="4" fillId="2" borderId="0" xfId="0" applyNumberFormat="1" applyFont="1" applyFill="1" applyBorder="1" applyAlignment="1">
      <alignment horizontal="center"/>
    </xf>
    <xf numFmtId="0" fontId="10" fillId="5" borderId="1" xfId="0" applyFont="1" applyFill="1" applyBorder="1"/>
    <xf numFmtId="0" fontId="10" fillId="5" borderId="1" xfId="0" applyFont="1" applyFill="1" applyBorder="1" applyAlignment="1">
      <alignment horizontal="center"/>
    </xf>
    <xf numFmtId="1" fontId="4" fillId="5" borderId="1" xfId="0" applyNumberFormat="1" applyFont="1" applyFill="1" applyBorder="1" applyAlignment="1">
      <alignment horizontal="center"/>
    </xf>
    <xf numFmtId="166" fontId="4" fillId="5" borderId="1" xfId="0" applyNumberFormat="1" applyFont="1" applyFill="1" applyBorder="1" applyAlignment="1">
      <alignment horizontal="center"/>
    </xf>
    <xf numFmtId="166" fontId="10" fillId="5" borderId="1" xfId="0" applyNumberFormat="1" applyFont="1" applyFill="1" applyBorder="1" applyAlignment="1">
      <alignment horizontal="center"/>
    </xf>
    <xf numFmtId="0" fontId="4" fillId="2" borderId="1" xfId="0" applyFont="1" applyFill="1" applyBorder="1"/>
    <xf numFmtId="0" fontId="4" fillId="0" borderId="0" xfId="0" applyFont="1" applyAlignment="1">
      <alignment horizontal="center"/>
    </xf>
    <xf numFmtId="1" fontId="4" fillId="0" borderId="0" xfId="0" applyNumberFormat="1" applyFont="1" applyAlignment="1">
      <alignment horizontal="center"/>
    </xf>
    <xf numFmtId="44" fontId="10" fillId="0" borderId="0" xfId="0" applyNumberFormat="1" applyFont="1"/>
    <xf numFmtId="44" fontId="4" fillId="6" borderId="0" xfId="0" applyNumberFormat="1" applyFont="1" applyFill="1" applyAlignment="1">
      <alignment horizontal="center"/>
    </xf>
    <xf numFmtId="44" fontId="4" fillId="2" borderId="0" xfId="0" applyNumberFormat="1" applyFont="1" applyFill="1" applyAlignment="1">
      <alignment horizontal="center"/>
    </xf>
    <xf numFmtId="44" fontId="4" fillId="0" borderId="0" xfId="0" applyNumberFormat="1" applyFont="1" applyAlignment="1">
      <alignment horizontal="center"/>
    </xf>
    <xf numFmtId="0" fontId="23" fillId="6" borderId="0" xfId="0" applyFont="1" applyFill="1"/>
    <xf numFmtId="0" fontId="24" fillId="6" borderId="0" xfId="0" applyFont="1" applyFill="1"/>
    <xf numFmtId="0" fontId="23" fillId="2" borderId="7" xfId="0" applyFont="1" applyFill="1" applyBorder="1"/>
    <xf numFmtId="0" fontId="23" fillId="2" borderId="4" xfId="0" applyFont="1" applyFill="1" applyBorder="1" applyAlignment="1">
      <alignment horizontal="center"/>
    </xf>
    <xf numFmtId="0" fontId="23" fillId="2" borderId="8" xfId="0" applyFont="1" applyFill="1" applyBorder="1"/>
    <xf numFmtId="0" fontId="23" fillId="2" borderId="7" xfId="0" applyFont="1" applyFill="1" applyBorder="1" applyAlignment="1">
      <alignment horizontal="center" wrapText="1"/>
    </xf>
    <xf numFmtId="0" fontId="23" fillId="3" borderId="7" xfId="0" applyFont="1" applyFill="1" applyBorder="1" applyAlignment="1">
      <alignment horizontal="center"/>
    </xf>
    <xf numFmtId="0" fontId="23" fillId="8" borderId="7" xfId="0" applyFont="1" applyFill="1" applyBorder="1" applyAlignment="1">
      <alignment horizontal="center" wrapText="1"/>
    </xf>
    <xf numFmtId="0" fontId="23" fillId="2" borderId="9" xfId="0" applyFont="1" applyFill="1" applyBorder="1"/>
    <xf numFmtId="0" fontId="23" fillId="2" borderId="9" xfId="0" applyFont="1" applyFill="1" applyBorder="1" applyAlignment="1">
      <alignment horizontal="center" wrapText="1"/>
    </xf>
    <xf numFmtId="0" fontId="23" fillId="2" borderId="9" xfId="0" applyFont="1" applyFill="1" applyBorder="1" applyAlignment="1">
      <alignment wrapText="1"/>
    </xf>
    <xf numFmtId="0" fontId="23" fillId="3" borderId="9" xfId="0" applyFont="1" applyFill="1" applyBorder="1"/>
    <xf numFmtId="2" fontId="23" fillId="8" borderId="9" xfId="0" applyNumberFormat="1" applyFont="1" applyFill="1" applyBorder="1" applyAlignment="1">
      <alignment horizontal="center" wrapText="1"/>
    </xf>
    <xf numFmtId="2" fontId="23" fillId="2" borderId="9" xfId="0" applyNumberFormat="1" applyFont="1" applyFill="1" applyBorder="1" applyAlignment="1">
      <alignment horizontal="center" wrapText="1"/>
    </xf>
    <xf numFmtId="0" fontId="23" fillId="3" borderId="8" xfId="0" applyFont="1" applyFill="1" applyBorder="1" applyAlignment="1">
      <alignment horizontal="center"/>
    </xf>
    <xf numFmtId="0" fontId="23" fillId="7" borderId="10" xfId="0" applyFont="1" applyFill="1" applyBorder="1"/>
    <xf numFmtId="7" fontId="23" fillId="7" borderId="10" xfId="0" applyNumberFormat="1" applyFont="1" applyFill="1" applyBorder="1" applyAlignment="1">
      <alignment horizontal="center"/>
    </xf>
    <xf numFmtId="39" fontId="23" fillId="7" borderId="10" xfId="0" applyNumberFormat="1" applyFont="1" applyFill="1" applyBorder="1" applyAlignment="1">
      <alignment horizontal="center"/>
    </xf>
    <xf numFmtId="0" fontId="23" fillId="0" borderId="0" xfId="0" applyFont="1"/>
    <xf numFmtId="0" fontId="23" fillId="6" borderId="0" xfId="0" applyFont="1" applyFill="1" applyBorder="1"/>
    <xf numFmtId="0" fontId="37" fillId="2" borderId="10" xfId="0" applyFont="1" applyFill="1" applyBorder="1"/>
    <xf numFmtId="7" fontId="37" fillId="2" borderId="10" xfId="0" applyNumberFormat="1" applyFont="1" applyFill="1" applyBorder="1" applyAlignment="1">
      <alignment horizontal="center"/>
    </xf>
    <xf numFmtId="39" fontId="37" fillId="2" borderId="10" xfId="0" applyNumberFormat="1" applyFont="1" applyFill="1" applyBorder="1" applyAlignment="1">
      <alignment horizontal="center"/>
    </xf>
    <xf numFmtId="164" fontId="23" fillId="6" borderId="0" xfId="0" applyNumberFormat="1" applyFont="1" applyFill="1"/>
    <xf numFmtId="7" fontId="23" fillId="6" borderId="0" xfId="0" applyNumberFormat="1" applyFont="1" applyFill="1" applyAlignment="1">
      <alignment horizontal="center"/>
    </xf>
    <xf numFmtId="0" fontId="23" fillId="2" borderId="7" xfId="0" applyFont="1" applyFill="1" applyBorder="1" applyAlignment="1">
      <alignment horizontal="center"/>
    </xf>
    <xf numFmtId="7" fontId="24" fillId="7" borderId="2" xfId="0" applyNumberFormat="1" applyFont="1" applyFill="1" applyBorder="1" applyAlignment="1">
      <alignment horizontal="center"/>
    </xf>
    <xf numFmtId="39" fontId="24" fillId="7" borderId="2" xfId="0" applyNumberFormat="1" applyFont="1" applyFill="1" applyBorder="1" applyAlignment="1">
      <alignment horizontal="center"/>
    </xf>
    <xf numFmtId="7" fontId="24" fillId="7" borderId="12" xfId="0" applyNumberFormat="1" applyFont="1" applyFill="1" applyBorder="1" applyAlignment="1">
      <alignment horizontal="center"/>
    </xf>
    <xf numFmtId="0" fontId="23" fillId="3" borderId="7" xfId="0" applyFont="1" applyFill="1" applyBorder="1" applyAlignment="1">
      <alignment horizontal="center" wrapText="1"/>
    </xf>
    <xf numFmtId="0" fontId="3" fillId="7" borderId="0" xfId="0" applyFont="1" applyFill="1" applyBorder="1"/>
    <xf numFmtId="0" fontId="3" fillId="0" borderId="0" xfId="0" applyFont="1" applyAlignment="1" applyProtection="1">
      <alignment horizontal="center" vertical="center"/>
      <protection locked="0"/>
    </xf>
    <xf numFmtId="0" fontId="8" fillId="9" borderId="0" xfId="0" applyFont="1" applyFill="1" applyProtection="1">
      <protection locked="0"/>
    </xf>
    <xf numFmtId="0" fontId="8" fillId="9" borderId="0" xfId="0" applyFont="1" applyFill="1"/>
    <xf numFmtId="0" fontId="14" fillId="2" borderId="0" xfId="0" applyFont="1" applyFill="1"/>
    <xf numFmtId="164" fontId="3" fillId="2" borderId="0" xfId="0" applyNumberFormat="1" applyFont="1" applyFill="1" applyAlignment="1">
      <alignment horizontal="center"/>
    </xf>
    <xf numFmtId="164" fontId="3" fillId="3" borderId="0" xfId="0" applyNumberFormat="1" applyFont="1" applyFill="1" applyAlignment="1" applyProtection="1">
      <alignment horizontal="left"/>
    </xf>
    <xf numFmtId="164" fontId="3" fillId="6" borderId="0" xfId="0" applyNumberFormat="1" applyFont="1" applyFill="1"/>
    <xf numFmtId="164" fontId="3" fillId="3" borderId="0" xfId="0" applyNumberFormat="1" applyFont="1" applyFill="1" applyAlignment="1">
      <alignment horizontal="left"/>
    </xf>
    <xf numFmtId="0" fontId="9" fillId="6" borderId="0" xfId="2" applyFill="1" applyAlignment="1" applyProtection="1">
      <alignment horizontal="left"/>
    </xf>
    <xf numFmtId="0" fontId="9" fillId="6" borderId="0" xfId="2" applyFill="1" applyAlignment="1" applyProtection="1"/>
    <xf numFmtId="0" fontId="23" fillId="10" borderId="7" xfId="0" applyFont="1" applyFill="1" applyBorder="1" applyAlignment="1">
      <alignment horizontal="center" wrapText="1"/>
    </xf>
    <xf numFmtId="2" fontId="23" fillId="10" borderId="9" xfId="0" applyNumberFormat="1" applyFont="1" applyFill="1" applyBorder="1" applyAlignment="1">
      <alignment horizontal="center" wrapText="1"/>
    </xf>
    <xf numFmtId="164" fontId="8" fillId="3" borderId="0" xfId="0" applyNumberFormat="1" applyFont="1" applyFill="1" applyAlignment="1">
      <alignment horizontal="left"/>
    </xf>
    <xf numFmtId="164" fontId="8" fillId="3" borderId="0" xfId="0" applyNumberFormat="1" applyFont="1" applyFill="1" applyAlignment="1" applyProtection="1">
      <alignment horizontal="left"/>
    </xf>
    <xf numFmtId="0" fontId="3" fillId="3" borderId="3" xfId="0" applyFont="1" applyFill="1" applyBorder="1"/>
    <xf numFmtId="0" fontId="8" fillId="6" borderId="0" xfId="0" applyFont="1" applyFill="1" applyBorder="1"/>
    <xf numFmtId="0" fontId="4" fillId="9" borderId="0" xfId="0" applyFont="1" applyFill="1" applyBorder="1" applyAlignment="1">
      <alignment horizontal="center"/>
    </xf>
    <xf numFmtId="166" fontId="10" fillId="9" borderId="0" xfId="0" applyNumberFormat="1" applyFont="1" applyFill="1" applyBorder="1" applyAlignment="1">
      <alignment horizontal="center"/>
    </xf>
    <xf numFmtId="166" fontId="4" fillId="9" borderId="0" xfId="0" applyNumberFormat="1" applyFont="1" applyFill="1" applyBorder="1" applyAlignment="1">
      <alignment horizontal="center"/>
    </xf>
    <xf numFmtId="0" fontId="34" fillId="9" borderId="0" xfId="2" applyFont="1" applyFill="1" applyBorder="1" applyAlignment="1" applyProtection="1"/>
    <xf numFmtId="0" fontId="4" fillId="9" borderId="0" xfId="0" applyFont="1" applyFill="1" applyBorder="1" applyAlignment="1" applyProtection="1">
      <alignment horizontal="center"/>
      <protection locked="0"/>
    </xf>
    <xf numFmtId="1" fontId="4" fillId="9" borderId="0" xfId="0" applyNumberFormat="1" applyFont="1" applyFill="1" applyBorder="1" applyAlignment="1">
      <alignment horizontal="center"/>
    </xf>
    <xf numFmtId="164" fontId="4" fillId="9" borderId="0" xfId="0" applyNumberFormat="1" applyFont="1" applyFill="1" applyBorder="1" applyAlignment="1">
      <alignment horizontal="center"/>
    </xf>
    <xf numFmtId="49" fontId="4" fillId="9" borderId="0" xfId="0" applyNumberFormat="1" applyFont="1" applyFill="1" applyAlignment="1">
      <alignment horizontal="center"/>
    </xf>
    <xf numFmtId="164" fontId="3" fillId="3" borderId="6" xfId="0" applyNumberFormat="1" applyFont="1" applyFill="1" applyBorder="1" applyAlignment="1">
      <alignment horizontal="center"/>
    </xf>
    <xf numFmtId="0" fontId="0" fillId="9" borderId="0" xfId="0" applyFill="1"/>
    <xf numFmtId="0" fontId="12" fillId="9" borderId="0" xfId="0" applyFont="1" applyFill="1"/>
    <xf numFmtId="0" fontId="4" fillId="11" borderId="0" xfId="0" applyFont="1" applyFill="1" applyAlignment="1" applyProtection="1">
      <alignment horizontal="center"/>
      <protection locked="0"/>
    </xf>
    <xf numFmtId="166" fontId="4" fillId="11" borderId="0" xfId="0" applyNumberFormat="1" applyFont="1" applyFill="1" applyAlignment="1">
      <alignment horizontal="center"/>
    </xf>
    <xf numFmtId="166" fontId="10" fillId="11" borderId="0" xfId="0" applyNumberFormat="1" applyFont="1" applyFill="1" applyAlignment="1">
      <alignment horizontal="center"/>
    </xf>
    <xf numFmtId="49" fontId="4" fillId="11" borderId="0" xfId="0" applyNumberFormat="1" applyFont="1" applyFill="1" applyAlignment="1">
      <alignment horizontal="center"/>
    </xf>
    <xf numFmtId="0" fontId="43" fillId="11" borderId="0" xfId="2" applyFont="1" applyFill="1" applyAlignment="1" applyProtection="1"/>
    <xf numFmtId="0" fontId="43" fillId="11" borderId="0" xfId="2" applyFont="1" applyFill="1" applyBorder="1" applyAlignment="1" applyProtection="1"/>
    <xf numFmtId="0" fontId="4" fillId="11" borderId="0" xfId="0" applyFont="1" applyFill="1" applyBorder="1" applyAlignment="1" applyProtection="1">
      <alignment horizontal="center"/>
      <protection locked="0"/>
    </xf>
    <xf numFmtId="166" fontId="4" fillId="11" borderId="0" xfId="0" applyNumberFormat="1" applyFont="1" applyFill="1" applyBorder="1" applyAlignment="1">
      <alignment horizontal="center"/>
    </xf>
    <xf numFmtId="49" fontId="4" fillId="11" borderId="0" xfId="0" applyNumberFormat="1" applyFont="1" applyFill="1" applyBorder="1" applyAlignment="1">
      <alignment horizontal="center"/>
    </xf>
    <xf numFmtId="0" fontId="4" fillId="11" borderId="0" xfId="0" applyFont="1" applyFill="1"/>
    <xf numFmtId="0" fontId="4" fillId="11" borderId="3" xfId="0" applyFont="1" applyFill="1" applyBorder="1"/>
    <xf numFmtId="0" fontId="4" fillId="11" borderId="3" xfId="0" applyFont="1" applyFill="1" applyBorder="1" applyAlignment="1">
      <alignment horizontal="center"/>
    </xf>
    <xf numFmtId="0" fontId="4" fillId="11" borderId="0" xfId="0" applyFont="1" applyFill="1" applyBorder="1"/>
    <xf numFmtId="0" fontId="4" fillId="11" borderId="0" xfId="0" applyFont="1" applyFill="1" applyBorder="1" applyAlignment="1">
      <alignment horizontal="center"/>
    </xf>
    <xf numFmtId="2" fontId="48" fillId="0" borderId="0" xfId="0" applyNumberFormat="1" applyFont="1" applyFill="1" applyAlignment="1" applyProtection="1">
      <alignment horizontal="center"/>
    </xf>
    <xf numFmtId="164" fontId="48" fillId="0" borderId="0" xfId="0" applyNumberFormat="1" applyFont="1" applyFill="1" applyAlignment="1" applyProtection="1">
      <alignment horizontal="center"/>
    </xf>
    <xf numFmtId="39" fontId="48" fillId="0" borderId="0" xfId="0" applyNumberFormat="1" applyFont="1" applyFill="1" applyAlignment="1" applyProtection="1">
      <alignment horizontal="center"/>
    </xf>
    <xf numFmtId="164" fontId="49" fillId="0" borderId="0" xfId="0" applyNumberFormat="1" applyFont="1" applyFill="1" applyAlignment="1" applyProtection="1">
      <alignment horizontal="center"/>
    </xf>
    <xf numFmtId="2" fontId="50" fillId="0" borderId="0" xfId="0" applyNumberFormat="1" applyFont="1" applyFill="1" applyAlignment="1">
      <alignment horizontal="center"/>
    </xf>
    <xf numFmtId="164" fontId="50" fillId="0" borderId="0" xfId="0" applyNumberFormat="1" applyFont="1" applyFill="1" applyAlignment="1">
      <alignment horizontal="center"/>
    </xf>
    <xf numFmtId="10" fontId="50" fillId="0" borderId="0" xfId="3" applyNumberFormat="1" applyFont="1" applyFill="1" applyBorder="1" applyAlignment="1">
      <alignment horizontal="center"/>
    </xf>
    <xf numFmtId="164" fontId="3" fillId="7" borderId="0" xfId="0" applyNumberFormat="1" applyFont="1" applyFill="1" applyBorder="1" applyAlignment="1">
      <alignment horizontal="center"/>
    </xf>
    <xf numFmtId="1" fontId="50" fillId="0" borderId="0" xfId="0" applyNumberFormat="1" applyFont="1" applyFill="1" applyAlignment="1">
      <alignment horizontal="center"/>
    </xf>
    <xf numFmtId="10" fontId="50" fillId="0" borderId="0" xfId="0" applyNumberFormat="1" applyFont="1" applyFill="1" applyAlignment="1">
      <alignment horizontal="center"/>
    </xf>
    <xf numFmtId="1" fontId="51" fillId="0" borderId="0" xfId="0" applyNumberFormat="1" applyFont="1" applyFill="1" applyBorder="1" applyAlignment="1" applyProtection="1">
      <alignment horizontal="center"/>
    </xf>
    <xf numFmtId="164" fontId="51" fillId="0" borderId="0" xfId="0" applyNumberFormat="1" applyFont="1" applyFill="1" applyBorder="1" applyAlignment="1" applyProtection="1">
      <alignment horizontal="center"/>
    </xf>
    <xf numFmtId="1" fontId="52" fillId="9" borderId="0" xfId="0" applyNumberFormat="1" applyFont="1" applyFill="1" applyAlignment="1">
      <alignment horizontal="center"/>
    </xf>
    <xf numFmtId="164" fontId="52" fillId="9" borderId="0" xfId="0" applyNumberFormat="1" applyFont="1" applyFill="1" applyAlignment="1">
      <alignment horizontal="center"/>
    </xf>
    <xf numFmtId="165" fontId="52" fillId="9" borderId="0" xfId="0" applyNumberFormat="1" applyFont="1" applyFill="1" applyAlignment="1">
      <alignment horizontal="center"/>
    </xf>
    <xf numFmtId="1" fontId="52" fillId="9" borderId="0" xfId="0" applyNumberFormat="1" applyFont="1" applyFill="1" applyBorder="1" applyAlignment="1">
      <alignment horizontal="center"/>
    </xf>
    <xf numFmtId="165" fontId="50" fillId="0" borderId="0" xfId="0" applyNumberFormat="1" applyFont="1" applyFill="1" applyAlignment="1">
      <alignment horizontal="center"/>
    </xf>
    <xf numFmtId="164" fontId="53" fillId="9" borderId="0" xfId="0" applyNumberFormat="1" applyFont="1" applyFill="1" applyAlignment="1" applyProtection="1">
      <alignment horizontal="center"/>
      <protection locked="0"/>
    </xf>
    <xf numFmtId="2" fontId="48" fillId="9" borderId="0" xfId="0" applyNumberFormat="1" applyFont="1" applyFill="1" applyAlignment="1" applyProtection="1">
      <alignment horizontal="center"/>
    </xf>
    <xf numFmtId="10" fontId="50" fillId="9" borderId="0" xfId="0" applyNumberFormat="1" applyFont="1" applyFill="1" applyAlignment="1">
      <alignment horizontal="center"/>
    </xf>
    <xf numFmtId="166" fontId="54" fillId="0" borderId="0" xfId="0" applyNumberFormat="1" applyFont="1" applyFill="1" applyBorder="1" applyAlignment="1">
      <alignment horizontal="center"/>
    </xf>
    <xf numFmtId="0" fontId="9" fillId="6" borderId="0" xfId="2" applyFill="1" applyBorder="1" applyAlignment="1" applyProtection="1"/>
    <xf numFmtId="0" fontId="50" fillId="9" borderId="0" xfId="0" applyFont="1" applyFill="1" applyBorder="1" applyAlignment="1"/>
    <xf numFmtId="0" fontId="55" fillId="9" borderId="0" xfId="0" applyFont="1" applyFill="1" applyBorder="1" applyAlignment="1"/>
    <xf numFmtId="0" fontId="3" fillId="9" borderId="0" xfId="0" applyFont="1" applyFill="1" applyBorder="1" applyAlignment="1">
      <alignment horizontal="center"/>
    </xf>
    <xf numFmtId="164" fontId="49" fillId="9" borderId="0" xfId="0" applyNumberFormat="1" applyFont="1" applyFill="1" applyAlignment="1" applyProtection="1">
      <alignment horizontal="left"/>
    </xf>
    <xf numFmtId="0" fontId="0" fillId="9" borderId="0" xfId="0" applyFill="1" applyBorder="1"/>
    <xf numFmtId="165" fontId="51" fillId="0" borderId="0" xfId="0" applyNumberFormat="1" applyFont="1" applyFill="1" applyBorder="1" applyAlignment="1" applyProtection="1">
      <alignment horizontal="center"/>
    </xf>
    <xf numFmtId="167" fontId="49" fillId="0" borderId="0" xfId="0" applyNumberFormat="1" applyFont="1" applyFill="1" applyAlignment="1" applyProtection="1">
      <alignment horizontal="center"/>
    </xf>
    <xf numFmtId="0" fontId="0" fillId="9" borderId="0" xfId="0" applyFill="1"/>
    <xf numFmtId="0" fontId="0" fillId="9" borderId="0" xfId="0" applyFill="1"/>
    <xf numFmtId="0" fontId="44" fillId="6" borderId="0" xfId="0" applyFont="1" applyFill="1"/>
    <xf numFmtId="0" fontId="8" fillId="9" borderId="0" xfId="0" applyFont="1" applyFill="1" applyBorder="1"/>
    <xf numFmtId="0" fontId="0" fillId="9" borderId="0" xfId="0" applyFill="1" applyBorder="1" applyAlignment="1">
      <alignment horizontal="center"/>
    </xf>
    <xf numFmtId="164" fontId="0" fillId="9" borderId="0" xfId="0" applyNumberFormat="1" applyFill="1" applyBorder="1" applyAlignment="1">
      <alignment horizontal="center"/>
    </xf>
    <xf numFmtId="0" fontId="56" fillId="9" borderId="0" xfId="0" applyFont="1" applyFill="1" applyBorder="1"/>
    <xf numFmtId="0" fontId="57" fillId="9" borderId="0" xfId="0" applyFont="1" applyFill="1" applyBorder="1" applyAlignment="1">
      <alignment horizontal="center"/>
    </xf>
    <xf numFmtId="164" fontId="57" fillId="9" borderId="0" xfId="0" applyNumberFormat="1" applyFont="1" applyFill="1" applyBorder="1" applyAlignment="1">
      <alignment horizontal="center"/>
    </xf>
    <xf numFmtId="0" fontId="57" fillId="9" borderId="0" xfId="0" applyFont="1" applyFill="1" applyBorder="1"/>
    <xf numFmtId="0" fontId="49" fillId="9" borderId="0" xfId="0" applyFont="1" applyFill="1" applyBorder="1"/>
    <xf numFmtId="0" fontId="58" fillId="9" borderId="0" xfId="0" applyFont="1" applyFill="1" applyBorder="1" applyAlignment="1">
      <alignment horizontal="center"/>
    </xf>
    <xf numFmtId="164" fontId="58" fillId="9" borderId="0" xfId="0" applyNumberFormat="1" applyFont="1" applyFill="1" applyBorder="1" applyAlignment="1">
      <alignment horizontal="center"/>
    </xf>
    <xf numFmtId="0" fontId="58" fillId="9" borderId="0" xfId="0" applyFont="1" applyFill="1" applyBorder="1"/>
    <xf numFmtId="0" fontId="59" fillId="9" borderId="0" xfId="0" applyFont="1" applyFill="1" applyBorder="1"/>
    <xf numFmtId="9" fontId="60" fillId="9" borderId="7" xfId="0" applyNumberFormat="1" applyFont="1" applyFill="1" applyBorder="1" applyAlignment="1">
      <alignment horizontal="center"/>
    </xf>
    <xf numFmtId="9" fontId="60" fillId="9" borderId="9" xfId="0" applyNumberFormat="1" applyFont="1" applyFill="1" applyBorder="1" applyAlignment="1">
      <alignment horizontal="center"/>
    </xf>
    <xf numFmtId="1" fontId="8" fillId="3" borderId="0" xfId="0" applyNumberFormat="1" applyFont="1" applyFill="1" applyBorder="1" applyAlignment="1">
      <alignment horizontal="center"/>
    </xf>
    <xf numFmtId="0" fontId="0" fillId="9" borderId="0" xfId="0" applyFill="1"/>
    <xf numFmtId="0" fontId="0" fillId="9" borderId="0" xfId="0" applyFill="1"/>
    <xf numFmtId="2" fontId="50" fillId="0" borderId="0" xfId="0" applyNumberFormat="1" applyFont="1" applyFill="1" applyAlignment="1">
      <alignment horizontal="right" indent="1"/>
    </xf>
    <xf numFmtId="0" fontId="46" fillId="6" borderId="0" xfId="2" applyFont="1" applyFill="1" applyAlignment="1" applyProtection="1">
      <alignment horizontal="left"/>
    </xf>
    <xf numFmtId="0" fontId="46" fillId="6" borderId="0" xfId="2" applyFont="1" applyFill="1" applyAlignment="1" applyProtection="1"/>
    <xf numFmtId="0" fontId="4" fillId="12" borderId="0" xfId="0" applyFont="1" applyFill="1"/>
    <xf numFmtId="0" fontId="47" fillId="11" borderId="0" xfId="0" applyFont="1" applyFill="1" applyBorder="1"/>
    <xf numFmtId="0" fontId="12" fillId="13" borderId="0" xfId="0" applyFont="1" applyFill="1"/>
    <xf numFmtId="0" fontId="12" fillId="13" borderId="0" xfId="0" applyFont="1" applyFill="1" applyAlignment="1">
      <alignment horizontal="center"/>
    </xf>
    <xf numFmtId="0" fontId="12" fillId="13" borderId="0" xfId="0" applyFont="1" applyFill="1" applyAlignment="1">
      <alignment horizontal="center" vertical="center"/>
    </xf>
    <xf numFmtId="0" fontId="12" fillId="13" borderId="0" xfId="0" applyFont="1" applyFill="1" applyBorder="1" applyAlignment="1">
      <alignment horizontal="center"/>
    </xf>
    <xf numFmtId="0" fontId="0" fillId="13" borderId="1" xfId="0" applyFill="1" applyBorder="1" applyAlignment="1">
      <alignment horizontal="center"/>
    </xf>
    <xf numFmtId="0" fontId="0" fillId="13" borderId="1" xfId="0" applyFill="1" applyBorder="1"/>
    <xf numFmtId="0" fontId="0" fillId="13" borderId="1" xfId="0" applyFill="1" applyBorder="1" applyAlignment="1">
      <alignment horizontal="center" vertical="center"/>
    </xf>
    <xf numFmtId="0" fontId="3" fillId="5" borderId="0" xfId="0" applyFont="1" applyFill="1" applyBorder="1"/>
    <xf numFmtId="0" fontId="9" fillId="0" borderId="0" xfId="2" quotePrefix="1" applyAlignment="1" applyProtection="1"/>
    <xf numFmtId="0" fontId="0" fillId="9" borderId="0" xfId="0" applyFill="1"/>
    <xf numFmtId="0" fontId="3" fillId="0" borderId="0" xfId="0" applyFont="1" applyAlignment="1" applyProtection="1">
      <protection locked="0"/>
    </xf>
    <xf numFmtId="168" fontId="51" fillId="0" borderId="0" xfId="0" applyNumberFormat="1" applyFont="1" applyFill="1" applyBorder="1" applyAlignment="1" applyProtection="1">
      <alignment horizontal="center"/>
    </xf>
    <xf numFmtId="0" fontId="8" fillId="2" borderId="10" xfId="0" applyFont="1" applyFill="1" applyBorder="1"/>
    <xf numFmtId="7" fontId="8" fillId="2" borderId="10" xfId="0" applyNumberFormat="1" applyFont="1" applyFill="1" applyBorder="1" applyAlignment="1">
      <alignment horizontal="center"/>
    </xf>
    <xf numFmtId="2" fontId="37" fillId="2" borderId="10" xfId="0" applyNumberFormat="1" applyFont="1" applyFill="1" applyBorder="1" applyAlignment="1">
      <alignment horizontal="center"/>
    </xf>
    <xf numFmtId="2" fontId="8" fillId="2" borderId="10" xfId="0" applyNumberFormat="1" applyFont="1" applyFill="1" applyBorder="1" applyAlignment="1">
      <alignment horizontal="center"/>
    </xf>
    <xf numFmtId="0" fontId="24" fillId="7" borderId="10" xfId="0" applyFont="1" applyFill="1" applyBorder="1"/>
    <xf numFmtId="3" fontId="23" fillId="7" borderId="10" xfId="0" applyNumberFormat="1" applyFont="1" applyFill="1" applyBorder="1" applyAlignment="1">
      <alignment horizontal="center"/>
    </xf>
    <xf numFmtId="169" fontId="3" fillId="7" borderId="10" xfId="1" applyNumberFormat="1" applyFont="1" applyFill="1" applyBorder="1" applyAlignment="1">
      <alignment horizontal="center"/>
    </xf>
    <xf numFmtId="3" fontId="23" fillId="7" borderId="10" xfId="0" applyNumberFormat="1" applyFont="1" applyFill="1" applyBorder="1" applyAlignment="1">
      <alignment horizontal="right"/>
    </xf>
    <xf numFmtId="0" fontId="23" fillId="7" borderId="10" xfId="0" applyFont="1" applyFill="1" applyBorder="1" applyAlignment="1">
      <alignment horizontal="right"/>
    </xf>
    <xf numFmtId="0" fontId="3" fillId="7" borderId="10" xfId="0" applyFont="1" applyFill="1" applyBorder="1" applyAlignment="1">
      <alignment horizontal="center"/>
    </xf>
    <xf numFmtId="0" fontId="23" fillId="7" borderId="11" xfId="0" applyFont="1" applyFill="1" applyBorder="1"/>
    <xf numFmtId="0" fontId="61" fillId="7" borderId="10" xfId="0" applyFont="1" applyFill="1" applyBorder="1" applyAlignment="1">
      <alignment horizontal="center"/>
    </xf>
    <xf numFmtId="3" fontId="61" fillId="7" borderId="10" xfId="0" applyNumberFormat="1" applyFont="1" applyFill="1" applyBorder="1" applyAlignment="1">
      <alignment horizontal="right"/>
    </xf>
    <xf numFmtId="3" fontId="62" fillId="7" borderId="10" xfId="0" applyNumberFormat="1" applyFont="1" applyFill="1" applyBorder="1" applyAlignment="1">
      <alignment horizontal="center"/>
    </xf>
    <xf numFmtId="0" fontId="61" fillId="7" borderId="10" xfId="0" applyFont="1" applyFill="1" applyBorder="1" applyAlignment="1">
      <alignment horizontal="right"/>
    </xf>
    <xf numFmtId="0" fontId="61" fillId="7" borderId="10" xfId="0" applyFont="1" applyFill="1" applyBorder="1"/>
    <xf numFmtId="0" fontId="23" fillId="0" borderId="0" xfId="0" applyFont="1" applyFill="1"/>
    <xf numFmtId="7" fontId="23" fillId="7" borderId="10" xfId="0" applyNumberFormat="1" applyFont="1" applyFill="1" applyBorder="1" applyAlignment="1">
      <alignment horizontal="left"/>
    </xf>
    <xf numFmtId="0" fontId="3" fillId="2" borderId="0" xfId="0" applyFont="1" applyFill="1" applyBorder="1"/>
    <xf numFmtId="0" fontId="3" fillId="2" borderId="1" xfId="0" applyFont="1" applyFill="1" applyBorder="1"/>
    <xf numFmtId="0" fontId="0" fillId="10" borderId="0" xfId="0" applyFill="1"/>
    <xf numFmtId="2" fontId="50" fillId="10" borderId="0" xfId="0" applyNumberFormat="1" applyFont="1" applyFill="1" applyAlignment="1">
      <alignment horizontal="center"/>
    </xf>
    <xf numFmtId="0" fontId="3" fillId="10" borderId="0" xfId="0" applyFont="1" applyFill="1" applyAlignment="1" applyProtection="1">
      <alignment horizontal="center" vertical="center"/>
      <protection locked="0"/>
    </xf>
    <xf numFmtId="164" fontId="49" fillId="10" borderId="0" xfId="0" applyNumberFormat="1" applyFont="1" applyFill="1" applyAlignment="1" applyProtection="1">
      <alignment horizontal="center"/>
    </xf>
    <xf numFmtId="0" fontId="8" fillId="10" borderId="0" xfId="0" applyFont="1" applyFill="1" applyProtection="1">
      <protection locked="0"/>
    </xf>
    <xf numFmtId="0" fontId="0" fillId="10" borderId="3" xfId="0" applyFill="1" applyBorder="1"/>
    <xf numFmtId="0" fontId="0" fillId="10" borderId="1" xfId="0" applyFill="1" applyBorder="1"/>
    <xf numFmtId="0" fontId="0" fillId="10" borderId="0" xfId="0" applyFill="1" applyBorder="1"/>
    <xf numFmtId="0" fontId="3" fillId="10" borderId="0" xfId="0" applyFont="1" applyFill="1" applyBorder="1"/>
    <xf numFmtId="0" fontId="3" fillId="10" borderId="1" xfId="0" applyFont="1" applyFill="1" applyBorder="1"/>
    <xf numFmtId="0" fontId="0" fillId="14" borderId="3" xfId="0" applyFill="1" applyBorder="1"/>
    <xf numFmtId="0" fontId="0" fillId="14" borderId="1" xfId="0" applyFill="1" applyBorder="1"/>
    <xf numFmtId="0" fontId="3" fillId="14" borderId="1" xfId="0" applyFont="1" applyFill="1" applyBorder="1"/>
    <xf numFmtId="0" fontId="0" fillId="14" borderId="0" xfId="0" applyFill="1" applyBorder="1"/>
    <xf numFmtId="0" fontId="3" fillId="14" borderId="0" xfId="0" applyFont="1" applyFill="1" applyBorder="1"/>
    <xf numFmtId="7" fontId="9" fillId="3" borderId="11" xfId="2" applyNumberFormat="1" applyFill="1" applyBorder="1" applyAlignment="1" applyProtection="1"/>
    <xf numFmtId="7" fontId="39" fillId="3" borderId="2" xfId="2" applyNumberFormat="1" applyFont="1" applyFill="1" applyBorder="1" applyAlignment="1" applyProtection="1"/>
    <xf numFmtId="7" fontId="39" fillId="3" borderId="12" xfId="2" applyNumberFormat="1" applyFont="1" applyFill="1" applyBorder="1" applyAlignment="1" applyProtection="1"/>
    <xf numFmtId="0" fontId="0" fillId="9" borderId="0" xfId="0" applyFill="1"/>
    <xf numFmtId="164" fontId="3" fillId="0" borderId="0" xfId="0" applyNumberFormat="1" applyFont="1" applyFill="1" applyAlignment="1" applyProtection="1">
      <alignment horizontal="center"/>
    </xf>
    <xf numFmtId="0" fontId="3" fillId="0" borderId="0" xfId="0" applyFont="1" applyFill="1"/>
    <xf numFmtId="164" fontId="63" fillId="9" borderId="0" xfId="0" applyNumberFormat="1" applyFont="1" applyFill="1" applyAlignment="1">
      <alignment horizontal="center"/>
    </xf>
    <xf numFmtId="164" fontId="63" fillId="9" borderId="0" xfId="0" applyNumberFormat="1" applyFont="1" applyFill="1" applyBorder="1" applyAlignment="1">
      <alignment horizontal="center"/>
    </xf>
    <xf numFmtId="164" fontId="64" fillId="0" borderId="0" xfId="0" applyNumberFormat="1" applyFont="1" applyFill="1" applyAlignment="1">
      <alignment horizontal="center"/>
    </xf>
    <xf numFmtId="0" fontId="10" fillId="2" borderId="0" xfId="0" applyNumberFormat="1" applyFont="1" applyFill="1" applyAlignment="1">
      <alignment horizontal="center"/>
    </xf>
    <xf numFmtId="0" fontId="0" fillId="9" borderId="0" xfId="0" applyFill="1"/>
    <xf numFmtId="0" fontId="0" fillId="3" borderId="3" xfId="0" applyFill="1" applyBorder="1" applyAlignment="1">
      <alignment wrapText="1"/>
    </xf>
    <xf numFmtId="0" fontId="0" fillId="3" borderId="1" xfId="0" applyFill="1" applyBorder="1" applyAlignment="1">
      <alignment wrapText="1"/>
    </xf>
    <xf numFmtId="0" fontId="10" fillId="5" borderId="0" xfId="0" applyFont="1" applyFill="1" applyBorder="1"/>
    <xf numFmtId="0" fontId="4" fillId="11" borderId="1" xfId="0" applyFont="1" applyFill="1" applyBorder="1"/>
    <xf numFmtId="44" fontId="10" fillId="5" borderId="0" xfId="0" applyNumberFormat="1" applyFont="1" applyFill="1" applyBorder="1" applyAlignment="1">
      <alignment horizontal="center"/>
    </xf>
    <xf numFmtId="166" fontId="4" fillId="11" borderId="1" xfId="0" applyNumberFormat="1" applyFont="1" applyFill="1" applyBorder="1" applyAlignment="1">
      <alignment horizontal="center"/>
    </xf>
    <xf numFmtId="166" fontId="10" fillId="5" borderId="0" xfId="0" applyNumberFormat="1" applyFont="1" applyFill="1" applyBorder="1" applyAlignment="1">
      <alignment horizontal="center"/>
    </xf>
    <xf numFmtId="0" fontId="0" fillId="9" borderId="0" xfId="0" applyFill="1"/>
    <xf numFmtId="0" fontId="0" fillId="9" borderId="0" xfId="0" applyFill="1"/>
    <xf numFmtId="164" fontId="8" fillId="3" borderId="1" xfId="0" applyNumberFormat="1" applyFont="1" applyFill="1" applyBorder="1" applyAlignment="1">
      <alignment horizontal="center"/>
    </xf>
    <xf numFmtId="9" fontId="50" fillId="0" borderId="0" xfId="3" applyFont="1" applyFill="1" applyBorder="1" applyAlignment="1">
      <alignment horizontal="center"/>
    </xf>
    <xf numFmtId="10" fontId="71" fillId="0" borderId="0" xfId="3" applyNumberFormat="1" applyFont="1" applyFill="1" applyAlignment="1">
      <alignment horizontal="center"/>
    </xf>
    <xf numFmtId="10" fontId="50" fillId="0" borderId="1" xfId="3" applyNumberFormat="1" applyFont="1" applyFill="1" applyBorder="1" applyAlignment="1">
      <alignment horizontal="center"/>
    </xf>
    <xf numFmtId="166" fontId="0" fillId="0" borderId="0" xfId="0" applyNumberFormat="1"/>
    <xf numFmtId="166" fontId="0" fillId="0" borderId="0" xfId="0" applyNumberFormat="1" applyAlignment="1">
      <alignment horizontal="center"/>
    </xf>
    <xf numFmtId="0" fontId="3" fillId="9" borderId="0" xfId="0" applyFont="1" applyFill="1" applyAlignment="1">
      <alignment horizontal="center"/>
    </xf>
    <xf numFmtId="0" fontId="0" fillId="0" borderId="0" xfId="0" applyAlignment="1">
      <alignment horizontal="center"/>
    </xf>
    <xf numFmtId="0" fontId="0" fillId="9" borderId="0" xfId="0" applyFill="1"/>
    <xf numFmtId="0" fontId="23" fillId="2" borderId="7" xfId="0" applyFont="1" applyFill="1" applyBorder="1" applyAlignment="1">
      <alignment horizontal="center" wrapText="1"/>
    </xf>
    <xf numFmtId="1" fontId="3" fillId="9" borderId="0" xfId="0" applyNumberFormat="1" applyFont="1" applyFill="1" applyAlignment="1">
      <alignment horizontal="center"/>
    </xf>
    <xf numFmtId="0" fontId="3" fillId="9" borderId="0" xfId="0" applyFont="1" applyFill="1" applyAlignment="1" applyProtection="1">
      <alignment horizontal="center"/>
      <protection locked="0"/>
    </xf>
    <xf numFmtId="166" fontId="65" fillId="11" borderId="3" xfId="0" applyNumberFormat="1" applyFont="1" applyFill="1" applyBorder="1"/>
    <xf numFmtId="165" fontId="4" fillId="9" borderId="0" xfId="0" applyNumberFormat="1" applyFont="1" applyFill="1" applyAlignment="1">
      <alignment horizontal="center"/>
    </xf>
    <xf numFmtId="0" fontId="43" fillId="9" borderId="0" xfId="2" applyFont="1" applyFill="1" applyBorder="1" applyAlignment="1" applyProtection="1"/>
    <xf numFmtId="0" fontId="10" fillId="9" borderId="0" xfId="0" applyFont="1" applyFill="1" applyBorder="1" applyAlignment="1">
      <alignment horizontal="left"/>
    </xf>
    <xf numFmtId="0" fontId="4" fillId="9" borderId="0" xfId="0" applyFont="1" applyFill="1" applyAlignment="1"/>
    <xf numFmtId="0" fontId="4" fillId="9" borderId="0" xfId="0" applyFont="1" applyFill="1" applyAlignment="1">
      <alignment horizontal="center"/>
    </xf>
    <xf numFmtId="0" fontId="10" fillId="9" borderId="0" xfId="0" applyFont="1" applyFill="1"/>
    <xf numFmtId="0" fontId="10" fillId="9" borderId="0" xfId="0" applyFont="1" applyFill="1" applyBorder="1" applyAlignment="1">
      <alignment horizontal="center"/>
    </xf>
    <xf numFmtId="1" fontId="10" fillId="9" borderId="0" xfId="0" applyNumberFormat="1" applyFont="1" applyFill="1" applyBorder="1" applyAlignment="1">
      <alignment horizontal="center"/>
    </xf>
    <xf numFmtId="0" fontId="10" fillId="9" borderId="1" xfId="0" applyFont="1" applyFill="1" applyBorder="1"/>
    <xf numFmtId="0" fontId="10" fillId="9" borderId="1" xfId="0" applyFont="1" applyFill="1" applyBorder="1" applyAlignment="1">
      <alignment horizontal="center"/>
    </xf>
    <xf numFmtId="1" fontId="10" fillId="9" borderId="1" xfId="0" applyNumberFormat="1" applyFont="1" applyFill="1" applyBorder="1" applyAlignment="1">
      <alignment horizontal="center"/>
    </xf>
    <xf numFmtId="44" fontId="10" fillId="9" borderId="1" xfId="0" applyNumberFormat="1" applyFont="1" applyFill="1" applyBorder="1" applyAlignment="1">
      <alignment horizontal="center"/>
    </xf>
    <xf numFmtId="0" fontId="4" fillId="9" borderId="0" xfId="0" applyFont="1" applyFill="1" applyAlignment="1" applyProtection="1">
      <alignment horizontal="center"/>
      <protection locked="0"/>
    </xf>
    <xf numFmtId="49" fontId="4" fillId="9" borderId="0" xfId="0" applyNumberFormat="1" applyFont="1" applyFill="1" applyBorder="1" applyAlignment="1">
      <alignment horizontal="center"/>
    </xf>
    <xf numFmtId="0" fontId="4" fillId="9" borderId="0" xfId="2" applyFont="1" applyFill="1" applyAlignment="1" applyProtection="1"/>
    <xf numFmtId="0" fontId="4" fillId="9" borderId="0" xfId="2" applyFont="1" applyFill="1" applyBorder="1" applyAlignment="1" applyProtection="1"/>
    <xf numFmtId="166" fontId="4" fillId="9" borderId="0" xfId="0" applyNumberFormat="1" applyFont="1" applyFill="1" applyAlignment="1">
      <alignment horizontal="right" indent="2"/>
    </xf>
    <xf numFmtId="164" fontId="4" fillId="9" borderId="0" xfId="0" applyNumberFormat="1" applyFont="1" applyFill="1" applyAlignment="1">
      <alignment horizontal="right" indent="1"/>
    </xf>
    <xf numFmtId="164" fontId="4" fillId="9" borderId="0" xfId="0" applyNumberFormat="1" applyFont="1" applyFill="1" applyBorder="1" applyAlignment="1">
      <alignment horizontal="right" indent="1"/>
    </xf>
    <xf numFmtId="0" fontId="33" fillId="9" borderId="3" xfId="0" applyFont="1" applyFill="1" applyBorder="1"/>
    <xf numFmtId="0" fontId="4" fillId="9" borderId="3" xfId="0" applyFont="1" applyFill="1" applyBorder="1" applyAlignment="1">
      <alignment horizontal="center"/>
    </xf>
    <xf numFmtId="1" fontId="4" fillId="9" borderId="3" xfId="0" applyNumberFormat="1" applyFont="1" applyFill="1" applyBorder="1" applyAlignment="1">
      <alignment horizontal="center"/>
    </xf>
    <xf numFmtId="0" fontId="10" fillId="9" borderId="3" xfId="0" applyFont="1" applyFill="1" applyBorder="1" applyAlignment="1">
      <alignment horizontal="center"/>
    </xf>
    <xf numFmtId="0" fontId="4" fillId="9" borderId="3" xfId="0" applyFont="1" applyFill="1" applyBorder="1"/>
    <xf numFmtId="44" fontId="10" fillId="9" borderId="3" xfId="0" applyNumberFormat="1" applyFont="1" applyFill="1" applyBorder="1"/>
    <xf numFmtId="0" fontId="33" fillId="9" borderId="0" xfId="0" applyFont="1" applyFill="1" applyBorder="1" applyAlignment="1"/>
    <xf numFmtId="44" fontId="4" fillId="9" borderId="0" xfId="0" applyNumberFormat="1" applyFont="1" applyFill="1" applyBorder="1" applyAlignment="1">
      <alignment horizontal="center"/>
    </xf>
    <xf numFmtId="44" fontId="10" fillId="9" borderId="0" xfId="0" applyNumberFormat="1" applyFont="1" applyFill="1" applyBorder="1"/>
    <xf numFmtId="0" fontId="10" fillId="9" borderId="0" xfId="0" applyFont="1" applyFill="1" applyBorder="1"/>
    <xf numFmtId="0" fontId="10" fillId="9" borderId="0" xfId="0" applyNumberFormat="1" applyFont="1" applyFill="1" applyBorder="1" applyAlignment="1">
      <alignment horizontal="center"/>
    </xf>
    <xf numFmtId="0" fontId="75" fillId="0" borderId="1" xfId="0" applyFont="1" applyBorder="1" applyAlignment="1">
      <alignment vertical="center"/>
    </xf>
    <xf numFmtId="1" fontId="76" fillId="9" borderId="0" xfId="0" applyNumberFormat="1" applyFont="1" applyFill="1" applyBorder="1" applyAlignment="1">
      <alignment horizontal="left"/>
    </xf>
    <xf numFmtId="1" fontId="76" fillId="9" borderId="0" xfId="0" applyNumberFormat="1" applyFont="1" applyFill="1" applyBorder="1" applyAlignment="1">
      <alignment horizontal="center"/>
    </xf>
    <xf numFmtId="166" fontId="76" fillId="9" borderId="0" xfId="0" applyNumberFormat="1" applyFont="1" applyFill="1" applyBorder="1" applyAlignment="1">
      <alignment horizontal="center"/>
    </xf>
    <xf numFmtId="0" fontId="76" fillId="9" borderId="0" xfId="0" applyFont="1" applyFill="1" applyBorder="1" applyAlignment="1">
      <alignment horizontal="center"/>
    </xf>
    <xf numFmtId="0" fontId="76" fillId="9" borderId="0" xfId="0" applyFont="1" applyFill="1" applyBorder="1"/>
    <xf numFmtId="0" fontId="76" fillId="9" borderId="1" xfId="0" applyFont="1" applyFill="1" applyBorder="1"/>
    <xf numFmtId="44" fontId="76" fillId="9" borderId="1" xfId="0" applyNumberFormat="1" applyFont="1" applyFill="1" applyBorder="1" applyAlignment="1">
      <alignment horizontal="center"/>
    </xf>
    <xf numFmtId="166" fontId="76" fillId="9" borderId="1" xfId="0" applyNumberFormat="1" applyFont="1" applyFill="1" applyBorder="1" applyAlignment="1">
      <alignment horizontal="center"/>
    </xf>
    <xf numFmtId="0" fontId="76" fillId="9" borderId="0" xfId="0" applyFont="1" applyFill="1"/>
    <xf numFmtId="0" fontId="76" fillId="9" borderId="3" xfId="0" applyFont="1" applyFill="1" applyBorder="1"/>
    <xf numFmtId="166" fontId="76" fillId="9" borderId="0" xfId="0" applyNumberFormat="1" applyFont="1" applyFill="1" applyAlignment="1">
      <alignment horizontal="center"/>
    </xf>
    <xf numFmtId="0" fontId="0" fillId="9" borderId="0" xfId="0" applyFill="1"/>
    <xf numFmtId="0" fontId="2" fillId="9" borderId="15" xfId="0" applyFont="1" applyFill="1" applyBorder="1"/>
    <xf numFmtId="0" fontId="2" fillId="9" borderId="0" xfId="0" applyFont="1" applyFill="1" applyBorder="1"/>
    <xf numFmtId="0" fontId="2" fillId="9" borderId="0" xfId="0" applyFont="1" applyFill="1"/>
    <xf numFmtId="0" fontId="2" fillId="9" borderId="1" xfId="0" applyFont="1" applyFill="1" applyBorder="1"/>
    <xf numFmtId="166" fontId="3" fillId="9" borderId="0" xfId="0" applyNumberFormat="1" applyFont="1" applyFill="1" applyAlignment="1">
      <alignment horizontal="center"/>
    </xf>
    <xf numFmtId="166" fontId="0" fillId="9" borderId="0" xfId="0" applyNumberFormat="1" applyFill="1" applyAlignment="1">
      <alignment horizontal="center"/>
    </xf>
    <xf numFmtId="0" fontId="0" fillId="9" borderId="0" xfId="0" applyFill="1"/>
    <xf numFmtId="0" fontId="1" fillId="9" borderId="15" xfId="0" applyFont="1" applyFill="1" applyBorder="1"/>
    <xf numFmtId="0" fontId="1" fillId="9" borderId="0" xfId="0" applyFont="1" applyFill="1" applyBorder="1"/>
    <xf numFmtId="0" fontId="1" fillId="9" borderId="0" xfId="0" applyFont="1" applyFill="1"/>
    <xf numFmtId="0" fontId="1" fillId="9" borderId="1" xfId="0" applyFont="1" applyFill="1" applyBorder="1"/>
    <xf numFmtId="0" fontId="8" fillId="9" borderId="0" xfId="0" applyFont="1" applyFill="1" applyAlignment="1">
      <alignment horizontal="right"/>
    </xf>
    <xf numFmtId="0" fontId="0" fillId="6" borderId="0" xfId="0" applyFill="1" applyAlignment="1">
      <alignment textRotation="90"/>
    </xf>
    <xf numFmtId="0" fontId="0" fillId="0" borderId="0" xfId="0" applyAlignment="1"/>
    <xf numFmtId="0" fontId="3" fillId="9" borderId="0" xfId="0" applyFont="1" applyFill="1" applyAlignment="1">
      <alignment horizontal="center"/>
    </xf>
    <xf numFmtId="0" fontId="0" fillId="0" borderId="0" xfId="0" applyAlignment="1">
      <alignment horizontal="center"/>
    </xf>
    <xf numFmtId="0" fontId="35" fillId="0" borderId="1" xfId="0" applyFont="1" applyFill="1" applyBorder="1" applyAlignment="1">
      <alignment horizontal="left" vertical="center"/>
    </xf>
    <xf numFmtId="0" fontId="36" fillId="0" borderId="1" xfId="0" applyFont="1" applyFill="1" applyBorder="1" applyAlignment="1">
      <alignment vertical="center"/>
    </xf>
    <xf numFmtId="0" fontId="10" fillId="9" borderId="0" xfId="0" applyFont="1" applyFill="1" applyBorder="1" applyAlignment="1"/>
    <xf numFmtId="0" fontId="4" fillId="9" borderId="0" xfId="0" applyFont="1" applyFill="1" applyBorder="1" applyAlignment="1"/>
    <xf numFmtId="0" fontId="66" fillId="9" borderId="0" xfId="0" applyFont="1" applyFill="1" applyBorder="1" applyAlignment="1"/>
    <xf numFmtId="0" fontId="67" fillId="9" borderId="0" xfId="0" applyFont="1" applyFill="1" applyBorder="1" applyAlignment="1"/>
    <xf numFmtId="0" fontId="52" fillId="9" borderId="0" xfId="0" applyFont="1" applyFill="1" applyBorder="1" applyAlignment="1"/>
    <xf numFmtId="0" fontId="68" fillId="9" borderId="0" xfId="0" applyFont="1" applyFill="1" applyBorder="1" applyAlignment="1"/>
    <xf numFmtId="0" fontId="69" fillId="9" borderId="0" xfId="0" applyFont="1" applyFill="1" applyBorder="1" applyAlignment="1"/>
    <xf numFmtId="0" fontId="70" fillId="9" borderId="0" xfId="0" applyFont="1" applyFill="1" applyBorder="1" applyAlignment="1"/>
    <xf numFmtId="0" fontId="35" fillId="0" borderId="0" xfId="0" applyFont="1" applyFill="1" applyBorder="1" applyAlignment="1">
      <alignment horizontal="left" vertical="center"/>
    </xf>
    <xf numFmtId="0" fontId="36" fillId="0" borderId="0" xfId="0" applyFont="1" applyFill="1" applyBorder="1" applyAlignment="1">
      <alignment vertical="center"/>
    </xf>
    <xf numFmtId="0" fontId="10" fillId="6" borderId="1" xfId="0" applyFont="1" applyFill="1" applyBorder="1" applyAlignment="1">
      <alignment horizontal="left" vertical="center"/>
    </xf>
    <xf numFmtId="0" fontId="15" fillId="6" borderId="1" xfId="0" applyFont="1" applyFill="1" applyBorder="1" applyAlignment="1">
      <alignment horizontal="left" vertical="center"/>
    </xf>
    <xf numFmtId="1" fontId="56" fillId="9" borderId="0" xfId="0" applyNumberFormat="1" applyFont="1" applyFill="1" applyBorder="1" applyAlignment="1" applyProtection="1">
      <alignment horizontal="left"/>
    </xf>
    <xf numFmtId="2" fontId="48" fillId="0" borderId="0" xfId="0" applyNumberFormat="1" applyFont="1" applyFill="1" applyAlignment="1" applyProtection="1">
      <alignment horizontal="left"/>
    </xf>
    <xf numFmtId="0" fontId="9" fillId="6" borderId="0" xfId="2" applyFont="1" applyFill="1" applyAlignment="1" applyProtection="1">
      <alignment horizontal="left" vertical="top" wrapText="1"/>
      <protection locked="0"/>
    </xf>
    <xf numFmtId="0" fontId="30" fillId="6" borderId="0" xfId="0" applyFont="1" applyFill="1" applyAlignment="1" applyProtection="1">
      <alignment horizontal="left" vertical="top" wrapText="1"/>
      <protection locked="0"/>
    </xf>
    <xf numFmtId="0" fontId="0" fillId="9" borderId="0" xfId="0" applyFill="1"/>
    <xf numFmtId="0" fontId="0" fillId="9" borderId="0" xfId="0" applyFill="1" applyAlignment="1"/>
    <xf numFmtId="0" fontId="10" fillId="6" borderId="0" xfId="0" applyFont="1" applyFill="1" applyBorder="1" applyAlignment="1" applyProtection="1">
      <alignment horizontal="left" wrapText="1"/>
      <protection locked="0"/>
    </xf>
    <xf numFmtId="0" fontId="4" fillId="6" borderId="0" xfId="0" applyFont="1" applyFill="1" applyBorder="1" applyAlignment="1" applyProtection="1">
      <alignment horizontal="left" wrapText="1"/>
      <protection locked="0"/>
    </xf>
    <xf numFmtId="0" fontId="3" fillId="6" borderId="0" xfId="0" applyFont="1" applyFill="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0" borderId="0" xfId="0" applyAlignment="1" applyProtection="1">
      <alignment horizontal="left"/>
      <protection locked="0"/>
    </xf>
    <xf numFmtId="0" fontId="10" fillId="6" borderId="0" xfId="0" applyFont="1" applyFill="1" applyBorder="1" applyAlignment="1">
      <alignment wrapText="1"/>
    </xf>
    <xf numFmtId="0" fontId="0" fillId="6" borderId="0" xfId="0" applyFill="1" applyBorder="1" applyAlignment="1">
      <alignment wrapText="1"/>
    </xf>
    <xf numFmtId="0" fontId="0" fillId="2" borderId="3" xfId="0" applyFill="1" applyBorder="1" applyAlignment="1">
      <alignment horizontal="left" wrapText="1"/>
    </xf>
    <xf numFmtId="0" fontId="0" fillId="2" borderId="1" xfId="0" applyFill="1" applyBorder="1" applyAlignment="1">
      <alignment horizontal="left" wrapText="1"/>
    </xf>
    <xf numFmtId="1" fontId="51" fillId="9" borderId="0" xfId="0" applyNumberFormat="1" applyFont="1" applyFill="1" applyBorder="1" applyAlignment="1" applyProtection="1">
      <alignment horizontal="left"/>
    </xf>
    <xf numFmtId="0" fontId="10" fillId="6" borderId="0" xfId="0" applyFont="1" applyFill="1" applyBorder="1" applyAlignment="1" applyProtection="1">
      <alignment wrapText="1"/>
      <protection locked="0"/>
    </xf>
    <xf numFmtId="0" fontId="0" fillId="0" borderId="0" xfId="0" applyAlignment="1">
      <alignment horizontal="left" vertical="top" wrapText="1"/>
    </xf>
    <xf numFmtId="0" fontId="0" fillId="6" borderId="0" xfId="0" applyFill="1" applyBorder="1" applyAlignment="1"/>
    <xf numFmtId="0" fontId="15" fillId="6" borderId="0" xfId="0" applyFont="1" applyFill="1" applyBorder="1" applyAlignment="1"/>
    <xf numFmtId="0" fontId="10" fillId="6" borderId="0" xfId="0" applyFont="1" applyFill="1" applyBorder="1" applyAlignment="1" applyProtection="1">
      <protection locked="0"/>
    </xf>
    <xf numFmtId="0" fontId="24" fillId="7" borderId="11" xfId="0" applyFont="1" applyFill="1" applyBorder="1" applyAlignment="1"/>
    <xf numFmtId="0" fontId="24" fillId="7" borderId="2" xfId="0" applyFont="1" applyFill="1" applyBorder="1" applyAlignment="1"/>
    <xf numFmtId="0" fontId="24" fillId="7" borderId="12" xfId="0" applyFont="1" applyFill="1" applyBorder="1" applyAlignment="1"/>
    <xf numFmtId="0" fontId="10" fillId="6" borderId="1" xfId="0" applyFont="1" applyFill="1" applyBorder="1" applyAlignment="1">
      <alignment vertical="center"/>
    </xf>
    <xf numFmtId="0" fontId="0" fillId="6" borderId="1" xfId="0" applyFill="1" applyBorder="1" applyAlignment="1">
      <alignment vertical="center"/>
    </xf>
    <xf numFmtId="7" fontId="39" fillId="3" borderId="11" xfId="2" applyNumberFormat="1" applyFont="1" applyFill="1" applyBorder="1" applyAlignment="1" applyProtection="1"/>
    <xf numFmtId="7" fontId="39" fillId="3" borderId="2" xfId="2" applyNumberFormat="1" applyFont="1" applyFill="1" applyBorder="1" applyAlignment="1" applyProtection="1"/>
    <xf numFmtId="7" fontId="39" fillId="3" borderId="12" xfId="2" applyNumberFormat="1" applyFont="1" applyFill="1" applyBorder="1" applyAlignment="1" applyProtection="1"/>
    <xf numFmtId="7" fontId="9" fillId="3" borderId="11" xfId="2" applyNumberFormat="1" applyFill="1" applyBorder="1" applyAlignment="1" applyProtection="1"/>
    <xf numFmtId="7" fontId="9" fillId="3" borderId="2" xfId="2" applyNumberFormat="1" applyFill="1" applyBorder="1" applyAlignment="1" applyProtection="1"/>
    <xf numFmtId="7" fontId="9" fillId="3" borderId="12" xfId="2" applyNumberFormat="1" applyFill="1" applyBorder="1" applyAlignment="1" applyProtection="1"/>
    <xf numFmtId="0" fontId="44" fillId="9" borderId="1" xfId="0" applyFont="1" applyFill="1" applyBorder="1" applyAlignment="1"/>
    <xf numFmtId="0" fontId="23" fillId="10" borderId="11" xfId="0" applyFont="1" applyFill="1" applyBorder="1" applyAlignment="1">
      <alignment horizontal="center"/>
    </xf>
    <xf numFmtId="0" fontId="23" fillId="10" borderId="12" xfId="0" applyFont="1" applyFill="1" applyBorder="1" applyAlignment="1">
      <alignment horizontal="center"/>
    </xf>
    <xf numFmtId="0" fontId="23" fillId="3" borderId="7" xfId="0" applyFont="1" applyFill="1" applyBorder="1" applyAlignment="1"/>
    <xf numFmtId="0" fontId="23" fillId="3" borderId="8" xfId="0" applyFont="1" applyFill="1" applyBorder="1" applyAlignment="1"/>
    <xf numFmtId="0" fontId="23" fillId="2" borderId="11" xfId="0" applyFont="1" applyFill="1" applyBorder="1" applyAlignment="1">
      <alignment horizontal="center"/>
    </xf>
    <xf numFmtId="0" fontId="23" fillId="2" borderId="2" xfId="0" applyFont="1" applyFill="1" applyBorder="1" applyAlignment="1">
      <alignment horizontal="center"/>
    </xf>
    <xf numFmtId="0" fontId="23" fillId="2" borderId="12" xfId="0" applyFont="1" applyFill="1" applyBorder="1" applyAlignment="1">
      <alignment horizontal="center"/>
    </xf>
    <xf numFmtId="0" fontId="23" fillId="3" borderId="11" xfId="0" applyFont="1" applyFill="1" applyBorder="1" applyAlignment="1">
      <alignment horizontal="center"/>
    </xf>
    <xf numFmtId="0" fontId="23" fillId="3" borderId="2" xfId="0" applyFont="1" applyFill="1" applyBorder="1" applyAlignment="1">
      <alignment horizontal="center"/>
    </xf>
    <xf numFmtId="0" fontId="23" fillId="3" borderId="12" xfId="0" applyFont="1" applyFill="1" applyBorder="1" applyAlignment="1">
      <alignment horizontal="center"/>
    </xf>
    <xf numFmtId="0" fontId="44" fillId="6" borderId="1" xfId="0" applyFont="1" applyFill="1" applyBorder="1" applyAlignment="1">
      <alignment vertical="center"/>
    </xf>
    <xf numFmtId="0" fontId="37" fillId="6" borderId="1" xfId="0" applyFont="1" applyFill="1" applyBorder="1" applyAlignment="1">
      <alignment horizontal="left" vertical="center"/>
    </xf>
    <xf numFmtId="0" fontId="23" fillId="8" borderId="11" xfId="0" applyFont="1" applyFill="1" applyBorder="1" applyAlignment="1">
      <alignment horizontal="center"/>
    </xf>
    <xf numFmtId="0" fontId="23" fillId="8" borderId="12" xfId="0" applyFont="1" applyFill="1" applyBorder="1" applyAlignment="1">
      <alignment horizontal="center"/>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0" fontId="24" fillId="6" borderId="3" xfId="0" applyFont="1" applyFill="1" applyBorder="1" applyAlignment="1">
      <alignment horizontal="left" wrapText="1"/>
    </xf>
    <xf numFmtId="0" fontId="38" fillId="7" borderId="11" xfId="0" applyFont="1" applyFill="1" applyBorder="1" applyAlignment="1">
      <alignment horizontal="center"/>
    </xf>
    <xf numFmtId="0" fontId="38" fillId="7" borderId="2" xfId="0" applyFont="1" applyFill="1" applyBorder="1" applyAlignment="1">
      <alignment horizontal="center"/>
    </xf>
    <xf numFmtId="0" fontId="38" fillId="7" borderId="12" xfId="0" applyFont="1" applyFill="1" applyBorder="1" applyAlignment="1">
      <alignment horizontal="center"/>
    </xf>
    <xf numFmtId="0" fontId="23" fillId="3" borderId="9" xfId="0" applyFont="1" applyFill="1" applyBorder="1" applyAlignment="1">
      <alignment horizontal="center" wrapText="1"/>
    </xf>
    <xf numFmtId="0" fontId="23" fillId="3" borderId="7" xfId="0" applyFont="1" applyFill="1" applyBorder="1" applyAlignment="1">
      <alignment horizontal="center"/>
    </xf>
    <xf numFmtId="0" fontId="23" fillId="3" borderId="9" xfId="0" applyFont="1" applyFill="1" applyBorder="1" applyAlignment="1">
      <alignment horizontal="center"/>
    </xf>
    <xf numFmtId="0" fontId="23" fillId="2" borderId="7" xfId="0" applyFont="1" applyFill="1" applyBorder="1" applyAlignment="1">
      <alignment horizontal="center" wrapText="1"/>
    </xf>
    <xf numFmtId="0" fontId="23" fillId="2" borderId="9" xfId="0" applyFont="1" applyFill="1" applyBorder="1" applyAlignment="1">
      <alignment horizontal="center" wrapText="1"/>
    </xf>
    <xf numFmtId="0" fontId="23" fillId="2" borderId="7" xfId="0" applyFont="1" applyFill="1" applyBorder="1" applyAlignment="1">
      <alignment horizontal="center"/>
    </xf>
    <xf numFmtId="0" fontId="23" fillId="2" borderId="9" xfId="0" applyFont="1" applyFill="1" applyBorder="1" applyAlignment="1">
      <alignment horizontal="center"/>
    </xf>
    <xf numFmtId="0" fontId="37" fillId="9" borderId="0" xfId="0" applyFont="1" applyFill="1" applyBorder="1" applyAlignment="1"/>
  </cellXfs>
  <cellStyles count="5">
    <cellStyle name="Comma" xfId="1" builtinId="3"/>
    <cellStyle name="Hyperlink" xfId="2" builtinId="8"/>
    <cellStyle name="Normal" xfId="0" builtinId="0"/>
    <cellStyle name="Normal 2" xfId="4"/>
    <cellStyle name="Percent" xfId="3" builtinId="5"/>
  </cellStyles>
  <dxfs count="69">
    <dxf>
      <font>
        <b val="0"/>
        <strike val="0"/>
        <outline val="0"/>
        <shadow val="0"/>
        <u val="none"/>
        <vertAlign val="baseline"/>
        <sz val="11"/>
        <color auto="1"/>
        <name val="Calibri"/>
        <scheme val="minor"/>
      </font>
      <fill>
        <patternFill patternType="solid">
          <fgColor indexed="64"/>
          <bgColor theme="0"/>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strike val="0"/>
        <outline val="0"/>
        <shadow val="0"/>
        <u val="none"/>
        <vertAlign val="baseline"/>
        <sz val="11"/>
        <color auto="1"/>
        <name val="Calibri"/>
        <scheme val="minor"/>
      </font>
      <fill>
        <patternFill patternType="solid">
          <fgColor indexed="64"/>
          <bgColor theme="0"/>
        </patternFill>
      </fill>
    </dxf>
    <dxf>
      <fill>
        <patternFill patternType="solid">
          <fgColor indexed="64"/>
          <bgColor indexed="43"/>
        </patternFill>
      </fill>
    </dxf>
    <dxf>
      <border outline="0">
        <bottom style="thin">
          <color indexed="64"/>
        </bottom>
      </border>
    </dxf>
    <dxf>
      <font>
        <b val="0"/>
        <i val="0"/>
        <strike val="0"/>
        <condense val="0"/>
        <extend val="0"/>
        <outline val="0"/>
        <shadow val="0"/>
        <u val="none"/>
        <vertAlign val="baseline"/>
        <sz val="11"/>
        <color auto="1"/>
        <name val="Calibri"/>
        <scheme val="minor"/>
      </font>
      <numFmt numFmtId="170" formatCode="\$#,##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30" formatCode="@"/>
      <fill>
        <patternFill patternType="solid">
          <fgColor indexed="64"/>
          <bgColor theme="0"/>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4" formatCode="&quot;$&quot;#,##0.00"/>
      <fill>
        <patternFill patternType="solid">
          <fgColor indexed="64"/>
          <bgColor theme="0"/>
        </patternFill>
      </fill>
      <alignment horizontal="righ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theme="0"/>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theme="0"/>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al="none"/>
        <vertAlign val="baseline"/>
        <sz val="12"/>
        <color auto="1"/>
        <name val="Arial"/>
        <scheme val="none"/>
      </font>
      <fill>
        <patternFill patternType="solid">
          <fgColor indexed="64"/>
          <bgColor theme="0"/>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theme="0"/>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theme="0"/>
        </patternFill>
      </fill>
    </dxf>
    <dxf>
      <font>
        <strike val="0"/>
        <outline val="0"/>
        <shadow val="0"/>
        <u val="none"/>
        <vertAlign val="baseline"/>
        <sz val="12"/>
        <color auto="1"/>
        <name val="Arial"/>
        <scheme val="none"/>
      </font>
      <numFmt numFmtId="30" formatCode="@"/>
      <fill>
        <patternFill patternType="solid">
          <fgColor indexed="64"/>
          <bgColor rgb="FFFFFFCC"/>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4" formatCode="&quot;$&quot;#,##0.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rgb="FFFFFFCC"/>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ertAlign val="baseline"/>
        <sz val="12"/>
        <color auto="1"/>
        <name val="Arial"/>
        <scheme val="none"/>
      </font>
      <fill>
        <patternFill patternType="solid">
          <fgColor indexed="64"/>
          <bgColor rgb="FFFFFFCC"/>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rgb="FFFFFFC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calcChain" Target="calcChain.xml"/><Relationship Id="rId8"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Graphical!$C$18:$C$27</c:f>
              <c:strCache>
                <c:ptCount val="9"/>
                <c:pt idx="0">
                  <c:v>CP</c:v>
                </c:pt>
                <c:pt idx="1">
                  <c:v>L</c:v>
                </c:pt>
                <c:pt idx="2">
                  <c:v>HRSW</c:v>
                </c:pt>
                <c:pt idx="3">
                  <c:v>HRWW</c:v>
                </c:pt>
                <c:pt idx="4">
                  <c:v>SWSW</c:v>
                </c:pt>
                <c:pt idx="5">
                  <c:v>SWWW</c:v>
                </c:pt>
                <c:pt idx="6">
                  <c:v>SC</c:v>
                </c:pt>
                <c:pt idx="7">
                  <c:v>P</c:v>
                </c:pt>
                <c:pt idx="8">
                  <c:v>SB</c:v>
                </c:pt>
              </c:strCache>
            </c:strRef>
          </c:cat>
          <c:val>
            <c:numRef>
              <c:f>Graphical!$D$18:$D$27</c:f>
              <c:numCache>
                <c:formatCode>"$"#,##0</c:formatCode>
                <c:ptCount val="9"/>
                <c:pt idx="0">
                  <c:v>40.004831939536984</c:v>
                </c:pt>
                <c:pt idx="1">
                  <c:v>11.27169443953693</c:v>
                </c:pt>
                <c:pt idx="2">
                  <c:v>-63.607000000000141</c:v>
                </c:pt>
                <c:pt idx="3">
                  <c:v>-67.138191852879459</c:v>
                </c:pt>
                <c:pt idx="4">
                  <c:v>-80.42010434606442</c:v>
                </c:pt>
                <c:pt idx="5">
                  <c:v>-82.390254352879253</c:v>
                </c:pt>
                <c:pt idx="6">
                  <c:v>-84.798507356349205</c:v>
                </c:pt>
                <c:pt idx="7">
                  <c:v>-92.586608372963042</c:v>
                </c:pt>
                <c:pt idx="8">
                  <c:v>-107.74913559606443</c:v>
                </c:pt>
              </c:numCache>
            </c:numRef>
          </c:val>
          <c:extLst xmlns:c16r2="http://schemas.microsoft.com/office/drawing/2015/06/chart">
            <c:ext xmlns:c16="http://schemas.microsoft.com/office/drawing/2014/chart" uri="{C3380CC4-5D6E-409C-BE32-E72D297353CC}">
              <c16:uniqueId val="{00000000-95DD-4F09-B85A-C53CFF934AF4}"/>
            </c:ext>
          </c:extLst>
        </c:ser>
        <c:dLbls>
          <c:showLegendKey val="0"/>
          <c:showVal val="0"/>
          <c:showCatName val="0"/>
          <c:showSerName val="0"/>
          <c:showPercent val="0"/>
          <c:showBubbleSize val="0"/>
        </c:dLbls>
        <c:gapWidth val="219"/>
        <c:overlap val="-27"/>
        <c:axId val="1022806176"/>
        <c:axId val="1022807808"/>
      </c:barChart>
      <c:catAx>
        <c:axId val="1022806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022807808"/>
        <c:crosses val="autoZero"/>
        <c:auto val="1"/>
        <c:lblAlgn val="ctr"/>
        <c:lblOffset val="100"/>
        <c:noMultiLvlLbl val="0"/>
      </c:catAx>
      <c:valAx>
        <c:axId val="102280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Net Returns over Total Costs, $/acre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80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5022377889822"/>
          <c:y val="0.14023053967569121"/>
          <c:w val="0.62202675019142439"/>
          <c:h val="0.61867702153669146"/>
        </c:manualLayout>
      </c:layout>
      <c:barChart>
        <c:barDir val="col"/>
        <c:grouping val="clustered"/>
        <c:varyColors val="0"/>
        <c:ser>
          <c:idx val="0"/>
          <c:order val="0"/>
          <c:tx>
            <c:strRef>
              <c:f>Graphical!$C$33</c:f>
              <c:strCache>
                <c:ptCount val="1"/>
                <c:pt idx="0">
                  <c:v>HRWW, HRSW, P</c:v>
                </c:pt>
              </c:strCache>
            </c:strRef>
          </c:tx>
          <c:spPr>
            <a:solidFill>
              <a:srgbClr val="9999FF"/>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Graphical!$D$33</c:f>
              <c:numCache>
                <c:formatCode>"$"#,##0</c:formatCode>
                <c:ptCount val="1"/>
                <c:pt idx="0">
                  <c:v>-26.777266741947585</c:v>
                </c:pt>
              </c:numCache>
            </c:numRef>
          </c:val>
          <c:extLst xmlns:c16r2="http://schemas.microsoft.com/office/drawing/2015/06/chart">
            <c:ext xmlns:c16="http://schemas.microsoft.com/office/drawing/2014/chart" uri="{C3380CC4-5D6E-409C-BE32-E72D297353CC}">
              <c16:uniqueId val="{00000000-25F2-41E8-B619-00E7F0DFBCF0}"/>
            </c:ext>
          </c:extLst>
        </c:ser>
        <c:ser>
          <c:idx val="1"/>
          <c:order val="1"/>
          <c:tx>
            <c:strRef>
              <c:f>Graphical!$C$34</c:f>
              <c:strCache>
                <c:ptCount val="1"/>
                <c:pt idx="0">
                  <c:v>HRWW, HRSW, CP</c:v>
                </c:pt>
              </c:strCache>
            </c:strRef>
          </c:tx>
          <c:spPr>
            <a:solidFill>
              <a:srgbClr val="993366"/>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Graphical!$D$34</c:f>
              <c:numCache>
                <c:formatCode>"$"#,##0</c:formatCode>
                <c:ptCount val="1"/>
                <c:pt idx="0">
                  <c:v>-30.246786637780815</c:v>
                </c:pt>
              </c:numCache>
            </c:numRef>
          </c:val>
          <c:extLst xmlns:c16r2="http://schemas.microsoft.com/office/drawing/2015/06/chart">
            <c:ext xmlns:c16="http://schemas.microsoft.com/office/drawing/2014/chart" uri="{C3380CC4-5D6E-409C-BE32-E72D297353CC}">
              <c16:uniqueId val="{00000001-25F2-41E8-B619-00E7F0DFBCF0}"/>
            </c:ext>
          </c:extLst>
        </c:ser>
        <c:ser>
          <c:idx val="2"/>
          <c:order val="2"/>
          <c:tx>
            <c:strRef>
              <c:f>Graphical!$C$35</c:f>
              <c:strCache>
                <c:ptCount val="1"/>
                <c:pt idx="0">
                  <c:v>SWWW, HRSW, P</c:v>
                </c:pt>
              </c:strCache>
            </c:strRef>
          </c:tx>
          <c:spPr>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Graphical!$D$35</c:f>
              <c:numCache>
                <c:formatCode>"$"#,##0</c:formatCode>
                <c:ptCount val="1"/>
                <c:pt idx="0">
                  <c:v>-31.861287575280812</c:v>
                </c:pt>
              </c:numCache>
            </c:numRef>
          </c:val>
          <c:extLst xmlns:c16r2="http://schemas.microsoft.com/office/drawing/2015/06/chart">
            <c:ext xmlns:c16="http://schemas.microsoft.com/office/drawing/2014/chart" uri="{C3380CC4-5D6E-409C-BE32-E72D297353CC}">
              <c16:uniqueId val="{00000002-25F2-41E8-B619-00E7F0DFBCF0}"/>
            </c:ext>
          </c:extLst>
        </c:ser>
        <c:ser>
          <c:idx val="4"/>
          <c:order val="3"/>
          <c:tx>
            <c:strRef>
              <c:f>Graphical!$C$36</c:f>
              <c:strCache>
                <c:ptCount val="1"/>
                <c:pt idx="0">
                  <c:v>HRWW, SWSW, P</c:v>
                </c:pt>
              </c:strCache>
            </c:strRef>
          </c:tx>
          <c:spPr>
            <a:solidFill>
              <a:srgbClr val="660066"/>
            </a:solidFill>
            <a:ln w="25400">
              <a:noFill/>
            </a:ln>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Graphical!$D$36</c:f>
              <c:numCache>
                <c:formatCode>"$"#,##0</c:formatCode>
                <c:ptCount val="1"/>
                <c:pt idx="0">
                  <c:v>-32.381634857302288</c:v>
                </c:pt>
              </c:numCache>
            </c:numRef>
          </c:val>
          <c:extLst xmlns:c16r2="http://schemas.microsoft.com/office/drawing/2015/06/chart">
            <c:ext xmlns:c16="http://schemas.microsoft.com/office/drawing/2014/chart" uri="{C3380CC4-5D6E-409C-BE32-E72D297353CC}">
              <c16:uniqueId val="{00000005-25F2-41E8-B619-00E7F0DFBCF0}"/>
            </c:ext>
          </c:extLst>
        </c:ser>
        <c:ser>
          <c:idx val="5"/>
          <c:order val="4"/>
          <c:tx>
            <c:strRef>
              <c:f>Graphical!$C$37</c:f>
              <c:strCache>
                <c:ptCount val="1"/>
                <c:pt idx="0">
                  <c:v>SWWW, HRSW, CP</c:v>
                </c:pt>
              </c:strCache>
            </c:strRef>
          </c:tx>
          <c:spPr>
            <a:solidFill>
              <a:srgbClr val="FF8080"/>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Graphical!$D$37</c:f>
              <c:numCache>
                <c:formatCode>"$"#,##0</c:formatCode>
                <c:ptCount val="1"/>
                <c:pt idx="0">
                  <c:v>-35.330807471114134</c:v>
                </c:pt>
              </c:numCache>
            </c:numRef>
          </c:val>
          <c:extLst xmlns:c16r2="http://schemas.microsoft.com/office/drawing/2015/06/chart">
            <c:ext xmlns:c16="http://schemas.microsoft.com/office/drawing/2014/chart" uri="{C3380CC4-5D6E-409C-BE32-E72D297353CC}">
              <c16:uniqueId val="{00000006-25F2-41E8-B619-00E7F0DFBCF0}"/>
            </c:ext>
          </c:extLst>
        </c:ser>
        <c:ser>
          <c:idx val="6"/>
          <c:order val="5"/>
          <c:tx>
            <c:strRef>
              <c:f>Graphical!$C$38</c:f>
              <c:strCache>
                <c:ptCount val="1"/>
                <c:pt idx="0">
                  <c:v>HRWW, SWSW, CP</c:v>
                </c:pt>
              </c:strCache>
            </c:strRef>
          </c:tx>
          <c:spPr>
            <a:solidFill>
              <a:srgbClr val="0066CC"/>
            </a:solidFill>
            <a:ln w="25400">
              <a:noFill/>
            </a:ln>
            <a:effectLst/>
          </c:spPr>
          <c:invertIfNegative val="0"/>
          <c:dLbls>
            <c:dLbl>
              <c:idx val="0"/>
              <c:spPr>
                <a:solidFill>
                  <a:schemeClr val="bg1"/>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Graphical!$D$38</c:f>
              <c:numCache>
                <c:formatCode>"$"#,##0</c:formatCode>
                <c:ptCount val="1"/>
                <c:pt idx="0">
                  <c:v>-35.851154753135575</c:v>
                </c:pt>
              </c:numCache>
            </c:numRef>
          </c:val>
          <c:extLst xmlns:c16r2="http://schemas.microsoft.com/office/drawing/2015/06/chart">
            <c:ext xmlns:c16="http://schemas.microsoft.com/office/drawing/2014/chart" uri="{C3380CC4-5D6E-409C-BE32-E72D297353CC}">
              <c16:uniqueId val="{00000008-25F2-41E8-B619-00E7F0DFBCF0}"/>
            </c:ext>
          </c:extLst>
        </c:ser>
        <c:ser>
          <c:idx val="8"/>
          <c:order val="6"/>
          <c:tx>
            <c:strRef>
              <c:f>Graphical!$C$39</c:f>
              <c:strCache>
                <c:ptCount val="1"/>
                <c:pt idx="0">
                  <c:v>SWWW, SWSW, P</c:v>
                </c:pt>
              </c:strCache>
            </c:strRef>
          </c:tx>
          <c:spPr>
            <a:solidFill>
              <a:srgbClr val="000080"/>
            </a:solidFill>
            <a:ln w="25400">
              <a:noFill/>
            </a:ln>
            <a:effectLst/>
          </c:spPr>
          <c:invertIfNegative val="0"/>
          <c:dLbls>
            <c:dLbl>
              <c:idx val="0"/>
              <c:layout>
                <c:manualLayout>
                  <c:x val="6.378356551585033E-4"/>
                  <c:y val="1.9647002324110173E-2"/>
                </c:manualLayout>
              </c:layout>
              <c:spPr>
                <a:solidFill>
                  <a:schemeClr val="bg1"/>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5F2-41E8-B619-00E7F0DFBCF0}"/>
                </c:ext>
                <c:ext xmlns:c15="http://schemas.microsoft.com/office/drawing/2012/chart" uri="{CE6537A1-D6FC-4f65-9D91-7224C49458BB}"/>
              </c:extLst>
            </c:dLbl>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Graphical!$D$39</c:f>
              <c:numCache>
                <c:formatCode>"$"#,##0</c:formatCode>
                <c:ptCount val="1"/>
                <c:pt idx="0">
                  <c:v>-37.465655690635572</c:v>
                </c:pt>
              </c:numCache>
            </c:numRef>
          </c:val>
          <c:extLst xmlns:c16r2="http://schemas.microsoft.com/office/drawing/2015/06/chart">
            <c:ext xmlns:c16="http://schemas.microsoft.com/office/drawing/2014/chart" uri="{C3380CC4-5D6E-409C-BE32-E72D297353CC}">
              <c16:uniqueId val="{0000000B-25F2-41E8-B619-00E7F0DFBCF0}"/>
            </c:ext>
          </c:extLst>
        </c:ser>
        <c:ser>
          <c:idx val="9"/>
          <c:order val="7"/>
          <c:tx>
            <c:strRef>
              <c:f>Graphical!$C$40</c:f>
              <c:strCache>
                <c:ptCount val="1"/>
                <c:pt idx="0">
                  <c:v>HRWW, HRSW, L</c:v>
                </c:pt>
              </c:strCache>
            </c:strRef>
          </c:tx>
          <c:spPr>
            <a:solidFill>
              <a:srgbClr val="FF00FF"/>
            </a:solidFill>
            <a:ln w="25400">
              <a:noFill/>
            </a:ln>
            <a:effectLst/>
          </c:spPr>
          <c:invertIfNegative val="0"/>
          <c:dLbls>
            <c:dLbl>
              <c:idx val="0"/>
              <c:layout>
                <c:manualLayout>
                  <c:x val="2.7986270946900385E-3"/>
                  <c:y val="-1.2101456491377183E-3"/>
                </c:manualLayout>
              </c:layout>
              <c:spPr>
                <a:solidFill>
                  <a:schemeClr val="bg1"/>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5F2-41E8-B619-00E7F0DFBCF0}"/>
                </c:ext>
                <c:ext xmlns:c15="http://schemas.microsoft.com/office/drawing/2012/chart" uri="{CE6537A1-D6FC-4f65-9D91-7224C49458BB}"/>
              </c:extLst>
            </c:dLbl>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Graphical!$D$40</c:f>
              <c:numCache>
                <c:formatCode>"$"#,##0</c:formatCode>
                <c:ptCount val="1"/>
                <c:pt idx="0">
                  <c:v>-39.82449913778089</c:v>
                </c:pt>
              </c:numCache>
            </c:numRef>
          </c:val>
          <c:extLst xmlns:c16r2="http://schemas.microsoft.com/office/drawing/2015/06/chart">
            <c:ext xmlns:c16="http://schemas.microsoft.com/office/drawing/2014/chart" uri="{C3380CC4-5D6E-409C-BE32-E72D297353CC}">
              <c16:uniqueId val="{0000000D-25F2-41E8-B619-00E7F0DFBCF0}"/>
            </c:ext>
          </c:extLst>
        </c:ser>
        <c:ser>
          <c:idx val="10"/>
          <c:order val="8"/>
          <c:tx>
            <c:strRef>
              <c:f>Graphical!$C$41</c:f>
              <c:strCache>
                <c:ptCount val="1"/>
                <c:pt idx="0">
                  <c:v>SWWW, SWSW, CP</c:v>
                </c:pt>
              </c:strCache>
            </c:strRef>
          </c:tx>
          <c:spPr>
            <a:solidFill>
              <a:srgbClr val="FFFF00"/>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Graphical!$D$41</c:f>
              <c:numCache>
                <c:formatCode>"$"#,##0</c:formatCode>
                <c:ptCount val="1"/>
                <c:pt idx="0">
                  <c:v>-40.935175586468894</c:v>
                </c:pt>
              </c:numCache>
            </c:numRef>
          </c:val>
          <c:extLst xmlns:c16r2="http://schemas.microsoft.com/office/drawing/2015/06/chart">
            <c:ext xmlns:c16="http://schemas.microsoft.com/office/drawing/2014/chart" uri="{C3380CC4-5D6E-409C-BE32-E72D297353CC}">
              <c16:uniqueId val="{0000000E-25F2-41E8-B619-00E7F0DFBCF0}"/>
            </c:ext>
          </c:extLst>
        </c:ser>
        <c:ser>
          <c:idx val="13"/>
          <c:order val="9"/>
          <c:tx>
            <c:strRef>
              <c:f>Graphical!$C$42</c:f>
              <c:strCache>
                <c:ptCount val="1"/>
                <c:pt idx="0">
                  <c:v>HRWW, SB, P</c:v>
                </c:pt>
              </c:strCache>
            </c:strRef>
          </c:tx>
          <c:spPr>
            <a:ln>
              <a:noFill/>
            </a:ln>
          </c:spPr>
          <c:invertIfNegative val="0"/>
          <c:dLbls>
            <c:spPr>
              <a:solidFill>
                <a:schemeClr val="bg1"/>
              </a:solid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Graphical!$D$42</c:f>
              <c:numCache>
                <c:formatCode>"$"#,##0</c:formatCode>
                <c:ptCount val="1"/>
                <c:pt idx="0">
                  <c:v>-41.491311940635626</c:v>
                </c:pt>
              </c:numCache>
            </c:numRef>
          </c:val>
          <c:extLst xmlns:c16r2="http://schemas.microsoft.com/office/drawing/2015/06/chart">
            <c:ext xmlns:c16="http://schemas.microsoft.com/office/drawing/2014/chart" uri="{C3380CC4-5D6E-409C-BE32-E72D297353CC}">
              <c16:uniqueId val="{00000001-FF66-40E4-BEFC-9578F94B9DCA}"/>
            </c:ext>
          </c:extLst>
        </c:ser>
        <c:dLbls>
          <c:showLegendKey val="0"/>
          <c:showVal val="0"/>
          <c:showCatName val="0"/>
          <c:showSerName val="0"/>
          <c:showPercent val="0"/>
          <c:showBubbleSize val="0"/>
        </c:dLbls>
        <c:gapWidth val="190"/>
        <c:overlap val="-100"/>
        <c:axId val="821650224"/>
        <c:axId val="821650768"/>
      </c:barChart>
      <c:catAx>
        <c:axId val="821650224"/>
        <c:scaling>
          <c:orientation val="minMax"/>
        </c:scaling>
        <c:delete val="1"/>
        <c:axPos val="b"/>
        <c:numFmt formatCode="General" sourceLinked="1"/>
        <c:majorTickMark val="out"/>
        <c:minorTickMark val="none"/>
        <c:tickLblPos val="nextTo"/>
        <c:crossAx val="821650768"/>
        <c:crosses val="autoZero"/>
        <c:auto val="1"/>
        <c:lblAlgn val="ctr"/>
        <c:lblOffset val="100"/>
        <c:noMultiLvlLbl val="0"/>
      </c:catAx>
      <c:valAx>
        <c:axId val="821650768"/>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2.3610428653381137E-2"/>
              <c:y val="0.33148211268112032"/>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821650224"/>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12594779819189"/>
          <c:y val="0.14054006668649521"/>
          <c:w val="0.70948928740735606"/>
          <c:h val="0.70044109703678603"/>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7987E-3"/>
                  <c:y val="7.2819796607992834E-3"/>
                </c:manualLayout>
              </c:layout>
              <c:spPr>
                <a:solidFill>
                  <a:schemeClr val="bg1"/>
                </a:solid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Graphical!$D$7</c:f>
              <c:numCache>
                <c:formatCode>"$"#,##0</c:formatCode>
                <c:ptCount val="1"/>
                <c:pt idx="0">
                  <c:v>-82.390254352879253</c:v>
                </c:pt>
              </c:numCache>
            </c:numRef>
          </c:val>
          <c:extLst xmlns:c16r2="http://schemas.microsoft.com/office/drawing/2015/06/chart">
            <c:ext xmlns:c16="http://schemas.microsoft.com/office/drawing/2014/chart" uri="{C3380CC4-5D6E-409C-BE32-E72D297353CC}">
              <c16:uniqueId val="{00000001-3B8D-4A7D-B6C8-786F775DDDB4}"/>
            </c:ext>
          </c:extLst>
        </c:ser>
        <c:ser>
          <c:idx val="2"/>
          <c:order val="1"/>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316E-3"/>
                  <c:y val="-4.0521081653784102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Graphical!$D$9</c:f>
              <c:numCache>
                <c:formatCode>"$"#,##0</c:formatCode>
                <c:ptCount val="1"/>
                <c:pt idx="0">
                  <c:v>-80.42010434606442</c:v>
                </c:pt>
              </c:numCache>
            </c:numRef>
          </c:val>
          <c:extLst xmlns:c16r2="http://schemas.microsoft.com/office/drawing/2015/06/chart">
            <c:ext xmlns:c16="http://schemas.microsoft.com/office/drawing/2014/chart" uri="{C3380CC4-5D6E-409C-BE32-E72D297353CC}">
              <c16:uniqueId val="{00000003-3B8D-4A7D-B6C8-786F775DDDB4}"/>
            </c:ext>
          </c:extLst>
        </c:ser>
        <c:ser>
          <c:idx val="3"/>
          <c:order val="2"/>
          <c:tx>
            <c:v>HRSW</c:v>
          </c:tx>
          <c:spPr>
            <a:solidFill>
              <a:srgbClr val="CC000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Graphical!$D$10</c:f>
              <c:numCache>
                <c:formatCode>"$"#,##0</c:formatCode>
                <c:ptCount val="1"/>
                <c:pt idx="0">
                  <c:v>-63.607000000000141</c:v>
                </c:pt>
              </c:numCache>
            </c:numRef>
          </c:val>
          <c:extLst xmlns:c16r2="http://schemas.microsoft.com/office/drawing/2015/06/chart">
            <c:ext xmlns:c16="http://schemas.microsoft.com/office/drawing/2014/chart" uri="{C3380CC4-5D6E-409C-BE32-E72D297353CC}">
              <c16:uniqueId val="{00000004-3B8D-4A7D-B6C8-786F775DDDB4}"/>
            </c:ext>
          </c:extLst>
        </c:ser>
        <c:ser>
          <c:idx val="1"/>
          <c:order val="3"/>
          <c:tx>
            <c:v>SB</c:v>
          </c:tx>
          <c:spPr>
            <a:solidFill>
              <a:srgbClr val="CC0099"/>
            </a:solidFill>
            <a:ln w="25400">
              <a:noFill/>
            </a:ln>
            <a:effectLst>
              <a:outerShdw dist="35921" dir="2700000" algn="br">
                <a:srgbClr val="000000"/>
              </a:outerShdw>
            </a:effectLst>
          </c:spPr>
          <c:invertIfNegative val="0"/>
          <c:dLbls>
            <c:dLbl>
              <c:idx val="0"/>
              <c:layout>
                <c:manualLayout>
                  <c:x val="3.3204324035767062E-3"/>
                  <c:y val="-2.0574793247043217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Summary!$H$19</c:f>
              <c:numCache>
                <c:formatCode>"$"#,##0</c:formatCode>
                <c:ptCount val="1"/>
                <c:pt idx="0">
                  <c:v>-107.74913559606443</c:v>
                </c:pt>
              </c:numCache>
            </c:numRef>
          </c:val>
          <c:extLst xmlns:c16r2="http://schemas.microsoft.com/office/drawing/2015/06/chart">
            <c:ext xmlns:c16="http://schemas.microsoft.com/office/drawing/2014/chart" uri="{C3380CC4-5D6E-409C-BE32-E72D297353CC}">
              <c16:uniqueId val="{00000006-3B8D-4A7D-B6C8-786F775DDDB4}"/>
            </c:ext>
          </c:extLst>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488E-3"/>
                  <c:y val="-1.7278557731744814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Graphical!$D$11</c:f>
              <c:numCache>
                <c:formatCode>"$"#,##0</c:formatCode>
                <c:ptCount val="1"/>
                <c:pt idx="0">
                  <c:v>-92.586608372963042</c:v>
                </c:pt>
              </c:numCache>
            </c:numRef>
          </c:val>
          <c:extLst xmlns:c16r2="http://schemas.microsoft.com/office/drawing/2015/06/chart">
            <c:ext xmlns:c16="http://schemas.microsoft.com/office/drawing/2014/chart" uri="{C3380CC4-5D6E-409C-BE32-E72D297353CC}">
              <c16:uniqueId val="{00000009-3B8D-4A7D-B6C8-786F775DDDB4}"/>
            </c:ext>
          </c:extLst>
        </c:ser>
        <c:ser>
          <c:idx val="5"/>
          <c:order val="5"/>
          <c:tx>
            <c:v>L</c:v>
          </c:tx>
          <c:spPr>
            <a:solidFill>
              <a:srgbClr val="FF808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Graphical!$D$12</c:f>
              <c:numCache>
                <c:formatCode>"$"#,##0</c:formatCode>
                <c:ptCount val="1"/>
                <c:pt idx="0">
                  <c:v>11.27169443953693</c:v>
                </c:pt>
              </c:numCache>
            </c:numRef>
          </c:val>
          <c:extLst xmlns:c16r2="http://schemas.microsoft.com/office/drawing/2015/06/chart">
            <c:ext xmlns:c16="http://schemas.microsoft.com/office/drawing/2014/chart" uri="{C3380CC4-5D6E-409C-BE32-E72D297353CC}">
              <c16:uniqueId val="{0000000A-3B8D-4A7D-B6C8-786F775DDDB4}"/>
            </c:ext>
          </c:extLst>
        </c:ser>
        <c:ser>
          <c:idx val="6"/>
          <c:order val="6"/>
          <c:tx>
            <c:v>CP</c:v>
          </c:tx>
          <c:spPr>
            <a:solidFill>
              <a:srgbClr val="0066CC"/>
            </a:solidFill>
            <a:ln w="25400">
              <a:noFill/>
            </a:ln>
            <a:effectLst>
              <a:outerShdw dist="35921" dir="2700000" algn="br">
                <a:srgbClr val="000000"/>
              </a:outerShdw>
            </a:effectLst>
          </c:spPr>
          <c:invertIfNegative val="0"/>
          <c:dLbls>
            <c:dLbl>
              <c:idx val="0"/>
              <c:layout>
                <c:manualLayout>
                  <c:x val="-2.0900777233354402E-3"/>
                  <c:y val="-4.6396494016230309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Graphical!$D$14</c:f>
              <c:numCache>
                <c:formatCode>"$"#,##0</c:formatCode>
                <c:ptCount val="1"/>
                <c:pt idx="0">
                  <c:v>40.004831939536984</c:v>
                </c:pt>
              </c:numCache>
            </c:numRef>
          </c:val>
          <c:extLst xmlns:c16r2="http://schemas.microsoft.com/office/drawing/2015/06/chart">
            <c:ext xmlns:c16="http://schemas.microsoft.com/office/drawing/2014/chart" uri="{C3380CC4-5D6E-409C-BE32-E72D297353CC}">
              <c16:uniqueId val="{0000000C-3B8D-4A7D-B6C8-786F775DDDB4}"/>
            </c:ext>
          </c:extLst>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29E-3"/>
                  <c:y val="-1.9966915587277825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B8D-4A7D-B6C8-786F775DDDB4}"/>
                </c:ext>
                <c:ext xmlns:c15="http://schemas.microsoft.com/office/drawing/2012/chart" uri="{CE6537A1-D6FC-4f65-9D91-7224C49458BB}"/>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Graphical!$C$7:$C$16</c:f>
              <c:strCache>
                <c:ptCount val="9"/>
                <c:pt idx="0">
                  <c:v>SWWW</c:v>
                </c:pt>
                <c:pt idx="1">
                  <c:v>SB</c:v>
                </c:pt>
                <c:pt idx="2">
                  <c:v>SWSW</c:v>
                </c:pt>
                <c:pt idx="3">
                  <c:v>HRSW</c:v>
                </c:pt>
                <c:pt idx="4">
                  <c:v>P</c:v>
                </c:pt>
                <c:pt idx="5">
                  <c:v>L</c:v>
                </c:pt>
                <c:pt idx="6">
                  <c:v>HRWW</c:v>
                </c:pt>
                <c:pt idx="7">
                  <c:v>CP</c:v>
                </c:pt>
                <c:pt idx="8">
                  <c:v>SC</c:v>
                </c:pt>
              </c:strCache>
            </c:strRef>
          </c:cat>
          <c:val>
            <c:numRef>
              <c:f>Graphical!$D$15</c:f>
              <c:numCache>
                <c:formatCode>"$"#,##0</c:formatCode>
                <c:ptCount val="1"/>
                <c:pt idx="0">
                  <c:v>-84.798507356349205</c:v>
                </c:pt>
              </c:numCache>
            </c:numRef>
          </c:val>
          <c:extLst xmlns:c16r2="http://schemas.microsoft.com/office/drawing/2015/06/chart">
            <c:ext xmlns:c16="http://schemas.microsoft.com/office/drawing/2014/chart" uri="{C3380CC4-5D6E-409C-BE32-E72D297353CC}">
              <c16:uniqueId val="{0000000E-3B8D-4A7D-B6C8-786F775DDDB4}"/>
            </c:ext>
          </c:extLst>
        </c:ser>
        <c:ser>
          <c:idx val="10"/>
          <c:order val="8"/>
          <c:tx>
            <c:v>AWP</c:v>
          </c:tx>
          <c:spPr>
            <a:effectLst>
              <a:outerShdw dist="35560" dir="2700000" algn="ctr" rotWithShape="0">
                <a:schemeClr val="tx1"/>
              </a:outerShdw>
            </a:effectLst>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Summary!$H$21</c:f>
            </c:numRef>
          </c:val>
          <c:extLst xmlns:c16r2="http://schemas.microsoft.com/office/drawing/2015/06/chart">
            <c:ext xmlns:c16="http://schemas.microsoft.com/office/drawing/2014/chart" uri="{C3380CC4-5D6E-409C-BE32-E72D297353CC}">
              <c16:uniqueId val="{00000010-3B8D-4A7D-B6C8-786F775DDDB4}"/>
            </c:ext>
          </c:extLst>
        </c:ser>
        <c:dLbls>
          <c:showLegendKey val="0"/>
          <c:showVal val="0"/>
          <c:showCatName val="0"/>
          <c:showSerName val="0"/>
          <c:showPercent val="0"/>
          <c:showBubbleSize val="0"/>
        </c:dLbls>
        <c:gapWidth val="200"/>
        <c:overlap val="-100"/>
        <c:axId val="1108416512"/>
        <c:axId val="1108417056"/>
      </c:barChart>
      <c:catAx>
        <c:axId val="1108416512"/>
        <c:scaling>
          <c:orientation val="minMax"/>
        </c:scaling>
        <c:delete val="1"/>
        <c:axPos val="b"/>
        <c:numFmt formatCode="General" sourceLinked="1"/>
        <c:majorTickMark val="out"/>
        <c:minorTickMark val="none"/>
        <c:tickLblPos val="nextTo"/>
        <c:crossAx val="1108417056"/>
        <c:crosses val="autoZero"/>
        <c:auto val="1"/>
        <c:lblAlgn val="ctr"/>
        <c:lblOffset val="100"/>
        <c:noMultiLvlLbl val="0"/>
      </c:catAx>
      <c:valAx>
        <c:axId val="110841705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en-US" sz="1400"/>
                  <a:t>$/acre/year</a:t>
                </a:r>
              </a:p>
            </c:rich>
          </c:tx>
          <c:layout>
            <c:manualLayout>
              <c:xMode val="edge"/>
              <c:yMode val="edge"/>
              <c:x val="3.8740922412020908E-2"/>
              <c:y val="0.34556675415573057"/>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108416512"/>
        <c:crosses val="autoZero"/>
        <c:crossBetween val="between"/>
      </c:valAx>
      <c:spPr>
        <a:solidFill>
          <a:schemeClr val="bg1"/>
        </a:solidFill>
        <a:ln w="12700">
          <a:solidFill>
            <a:srgbClr val="808080"/>
          </a:solidFill>
          <a:prstDash val="solid"/>
        </a:ln>
      </c:spPr>
    </c:plotArea>
    <c:legend>
      <c:legendPos val="r"/>
      <c:layout>
        <c:manualLayout>
          <c:xMode val="edge"/>
          <c:yMode val="edge"/>
          <c:x val="1.0928961748633882E-2"/>
          <c:y val="0.26133333333333331"/>
          <c:w val="8.4699573072491624E-2"/>
          <c:h val="0.47066684164479444"/>
        </c:manualLayout>
      </c:layout>
      <c:overlay val="1"/>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'Rotation data'!$K$3:$K$5</c:f>
              <c:strCache>
                <c:ptCount val="3"/>
                <c:pt idx="0">
                  <c:v>Returns</c:v>
                </c:pt>
                <c:pt idx="1">
                  <c:v>over TC</c:v>
                </c:pt>
                <c:pt idx="2">
                  <c:v>($/acre)</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'Rotation data'!$J$6:$J$17</c:f>
              <c:strCache>
                <c:ptCount val="12"/>
                <c:pt idx="0">
                  <c:v>HRWW, HRSW, P</c:v>
                </c:pt>
                <c:pt idx="1">
                  <c:v>HRWW, HRSW, CP</c:v>
                </c:pt>
                <c:pt idx="2">
                  <c:v>SWWW, HRSW, P</c:v>
                </c:pt>
                <c:pt idx="3">
                  <c:v>HRWW, SWSW, P</c:v>
                </c:pt>
                <c:pt idx="4">
                  <c:v>SWWW, HRSW, CP</c:v>
                </c:pt>
                <c:pt idx="5">
                  <c:v>HRWW, SWSW, CP</c:v>
                </c:pt>
                <c:pt idx="6">
                  <c:v>SWWW, SWSW, P</c:v>
                </c:pt>
                <c:pt idx="7">
                  <c:v>HRWW, HRSW, L</c:v>
                </c:pt>
                <c:pt idx="8">
                  <c:v>SWWW, SWSW, CP</c:v>
                </c:pt>
                <c:pt idx="9">
                  <c:v>HRWW, SB, P</c:v>
                </c:pt>
                <c:pt idx="10">
                  <c:v>SWWW, HRSW, L</c:v>
                </c:pt>
                <c:pt idx="11">
                  <c:v>HRWW, SB, CP</c:v>
                </c:pt>
              </c:strCache>
            </c:strRef>
          </c:cat>
          <c:val>
            <c:numRef>
              <c:f>'Rotation data'!$K$6:$K$17</c:f>
              <c:numCache>
                <c:formatCode>"$"#,##0</c:formatCode>
                <c:ptCount val="12"/>
                <c:pt idx="0">
                  <c:v>-26.777266741947585</c:v>
                </c:pt>
                <c:pt idx="1">
                  <c:v>-30.246786637780815</c:v>
                </c:pt>
                <c:pt idx="2">
                  <c:v>-31.861287575280812</c:v>
                </c:pt>
                <c:pt idx="3">
                  <c:v>-32.381634857302288</c:v>
                </c:pt>
                <c:pt idx="4">
                  <c:v>-35.330807471114134</c:v>
                </c:pt>
                <c:pt idx="5">
                  <c:v>-35.851154753135575</c:v>
                </c:pt>
                <c:pt idx="6">
                  <c:v>-37.465655690635572</c:v>
                </c:pt>
                <c:pt idx="7">
                  <c:v>-39.82449913778089</c:v>
                </c:pt>
                <c:pt idx="8">
                  <c:v>-40.935175586468894</c:v>
                </c:pt>
                <c:pt idx="9">
                  <c:v>-41.491311940635626</c:v>
                </c:pt>
                <c:pt idx="10">
                  <c:v>-44.908519971114153</c:v>
                </c:pt>
                <c:pt idx="11">
                  <c:v>-44.960831836468969</c:v>
                </c:pt>
              </c:numCache>
            </c:numRef>
          </c:val>
          <c:extLst xmlns:c16r2="http://schemas.microsoft.com/office/drawing/2015/06/chart">
            <c:ext xmlns:c16="http://schemas.microsoft.com/office/drawing/2014/chart" uri="{C3380CC4-5D6E-409C-BE32-E72D297353CC}">
              <c16:uniqueId val="{00000000-18E2-41A2-8B23-927543CB7232}"/>
            </c:ext>
          </c:extLst>
        </c:ser>
        <c:dLbls>
          <c:showLegendKey val="0"/>
          <c:showVal val="0"/>
          <c:showCatName val="0"/>
          <c:showSerName val="0"/>
          <c:showPercent val="0"/>
          <c:showBubbleSize val="0"/>
        </c:dLbls>
        <c:gapWidth val="219"/>
        <c:overlap val="-27"/>
        <c:axId val="1108418144"/>
        <c:axId val="1108417600"/>
      </c:barChart>
      <c:catAx>
        <c:axId val="11084181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08417600"/>
        <c:crosses val="autoZero"/>
        <c:auto val="1"/>
        <c:lblAlgn val="ctr"/>
        <c:lblOffset val="100"/>
        <c:noMultiLvlLbl val="0"/>
      </c:catAx>
      <c:valAx>
        <c:axId val="11084176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4181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350520</xdr:colOff>
      <xdr:row>1</xdr:row>
      <xdr:rowOff>45720</xdr:rowOff>
    </xdr:from>
    <xdr:to>
      <xdr:col>10</xdr:col>
      <xdr:colOff>190500</xdr:colOff>
      <xdr:row>7</xdr:row>
      <xdr:rowOff>152400</xdr:rowOff>
    </xdr:to>
    <xdr:pic>
      <xdr:nvPicPr>
        <xdr:cNvPr id="1057" name="Picture 4" descr="01UICALS-metallic.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213360"/>
          <a:ext cx="595122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541020</xdr:colOff>
      <xdr:row>7</xdr:row>
      <xdr:rowOff>53340</xdr:rowOff>
    </xdr:from>
    <xdr:to>
      <xdr:col>10</xdr:col>
      <xdr:colOff>22860</xdr:colOff>
      <xdr:row>23</xdr:row>
      <xdr:rowOff>137160</xdr:rowOff>
    </xdr:to>
    <xdr:pic>
      <xdr:nvPicPr>
        <xdr:cNvPr id="1058"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1485900"/>
          <a:ext cx="5593080" cy="367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15875</xdr:colOff>
      <xdr:row>0</xdr:row>
      <xdr:rowOff>0</xdr:rowOff>
    </xdr:from>
    <xdr:ext cx="8490727" cy="18415000"/>
    <xdr:sp macro="" textlink="">
      <xdr:nvSpPr>
        <xdr:cNvPr id="2" name="TextBox 1"/>
        <xdr:cNvSpPr txBox="1"/>
      </xdr:nvSpPr>
      <xdr:spPr>
        <a:xfrm>
          <a:off x="647700" y="0"/>
          <a:ext cx="8483600" cy="1841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solidFill>
                <a:schemeClr val="tx1"/>
              </a:solidFill>
              <a:latin typeface="+mn-lt"/>
              <a:ea typeface="+mn-ea"/>
              <a:cs typeface="+mn-cs"/>
            </a:rPr>
            <a:t>Instructions and Assumptions for Using Enterprise Budgets and Cost Calculators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General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mn-lt"/>
              <a:ea typeface="+mn-ea"/>
              <a:cs typeface="+mn-cs"/>
            </a:rPr>
            <a:t> </a:t>
          </a:r>
          <a:endParaRPr lang="en-US" sz="1200">
            <a:solidFill>
              <a:schemeClr val="tx1"/>
            </a:solidFill>
            <a:latin typeface="+mn-lt"/>
            <a:ea typeface="+mn-ea"/>
            <a:cs typeface="+mn-cs"/>
          </a:endParaRPr>
        </a:p>
        <a:p>
          <a:r>
            <a:rPr lang="en-US" sz="1200" b="1">
              <a:solidFill>
                <a:schemeClr val="tx1"/>
              </a:solidFill>
              <a:latin typeface="+mn-lt"/>
              <a:ea typeface="+mn-ea"/>
              <a:cs typeface="+mn-cs"/>
            </a:rPr>
            <a:t>·  </a:t>
          </a:r>
          <a:r>
            <a:rPr lang="en-US" sz="1200">
              <a:solidFill>
                <a:schemeClr val="tx1"/>
              </a:solidFill>
              <a:latin typeface="+mn-lt"/>
              <a:ea typeface="+mn-ea"/>
              <a:cs typeface="+mn-cs"/>
            </a:rPr>
            <a:t>Capital, labor, and natural resources</a:t>
          </a:r>
        </a:p>
        <a:p>
          <a:r>
            <a:rPr lang="en-US" sz="1200" b="1">
              <a:solidFill>
                <a:schemeClr val="tx1"/>
              </a:solidFill>
              <a:latin typeface="+mn-lt"/>
              <a:ea typeface="+mn-ea"/>
              <a:cs typeface="+mn-cs"/>
            </a:rPr>
            <a:t>·  </a:t>
          </a:r>
          <a:r>
            <a:rPr lang="en-US" sz="1200">
              <a:solidFill>
                <a:schemeClr val="tx1"/>
              </a:solidFill>
              <a:latin typeface="+mn-lt"/>
              <a:ea typeface="+mn-ea"/>
              <a:cs typeface="+mn-cs"/>
            </a:rPr>
            <a:t>Type and size of machinery complement</a:t>
          </a:r>
        </a:p>
        <a:p>
          <a:r>
            <a:rPr lang="en-US" sz="1200" b="1">
              <a:solidFill>
                <a:schemeClr val="tx1"/>
              </a:solidFill>
              <a:latin typeface="+mn-lt"/>
              <a:ea typeface="+mn-ea"/>
              <a:cs typeface="+mn-cs"/>
            </a:rPr>
            <a:t>·  </a:t>
          </a:r>
          <a:r>
            <a:rPr lang="en-US" sz="1200">
              <a:solidFill>
                <a:schemeClr val="tx1"/>
              </a:solidFill>
              <a:latin typeface="+mn-lt"/>
              <a:ea typeface="+mn-ea"/>
              <a:cs typeface="+mn-cs"/>
            </a:rPr>
            <a:t>Cultural practices</a:t>
          </a:r>
        </a:p>
        <a:p>
          <a:r>
            <a:rPr lang="en-US" sz="1200" b="1">
              <a:solidFill>
                <a:schemeClr val="tx1"/>
              </a:solidFill>
              <a:latin typeface="+mn-lt"/>
              <a:ea typeface="+mn-ea"/>
              <a:cs typeface="+mn-cs"/>
            </a:rPr>
            <a:t>·  </a:t>
          </a:r>
          <a:r>
            <a:rPr lang="en-US" sz="1200">
              <a:solidFill>
                <a:schemeClr val="tx1"/>
              </a:solidFill>
              <a:latin typeface="+mn-lt"/>
              <a:ea typeface="+mn-ea"/>
              <a:cs typeface="+mn-cs"/>
            </a:rPr>
            <a:t>Size of farm enterprise</a:t>
          </a:r>
        </a:p>
        <a:p>
          <a:r>
            <a:rPr lang="en-US" sz="1200" b="1">
              <a:solidFill>
                <a:schemeClr val="tx1"/>
              </a:solidFill>
              <a:latin typeface="+mn-lt"/>
              <a:ea typeface="+mn-ea"/>
              <a:cs typeface="+mn-cs"/>
            </a:rPr>
            <a:t>·  </a:t>
          </a:r>
          <a:r>
            <a:rPr lang="en-US" sz="1200">
              <a:solidFill>
                <a:schemeClr val="tx1"/>
              </a:solidFill>
              <a:latin typeface="+mn-lt"/>
              <a:ea typeface="+mn-ea"/>
              <a:cs typeface="+mn-cs"/>
            </a:rPr>
            <a:t>Crop yields</a:t>
          </a:r>
        </a:p>
        <a:p>
          <a:r>
            <a:rPr lang="en-US" sz="1200" b="1">
              <a:solidFill>
                <a:schemeClr val="tx1"/>
              </a:solidFill>
              <a:latin typeface="+mn-lt"/>
              <a:ea typeface="+mn-ea"/>
              <a:cs typeface="+mn-cs"/>
            </a:rPr>
            <a:t>·  </a:t>
          </a:r>
          <a:r>
            <a:rPr lang="en-US" sz="1200">
              <a:solidFill>
                <a:schemeClr val="tx1"/>
              </a:solidFill>
              <a:latin typeface="+mn-lt"/>
              <a:ea typeface="+mn-ea"/>
              <a:cs typeface="+mn-cs"/>
            </a:rPr>
            <a:t>Input prices</a:t>
          </a:r>
        </a:p>
        <a:p>
          <a:r>
            <a:rPr lang="en-US" sz="1200" b="1">
              <a:solidFill>
                <a:schemeClr val="tx1"/>
              </a:solidFill>
              <a:latin typeface="+mn-lt"/>
              <a:ea typeface="+mn-ea"/>
              <a:cs typeface="+mn-cs"/>
            </a:rPr>
            <a:t>·  </a:t>
          </a:r>
          <a:r>
            <a:rPr lang="en-US" sz="1200">
              <a:solidFill>
                <a:schemeClr val="tx1"/>
              </a:solidFill>
              <a:latin typeface="+mn-lt"/>
              <a:ea typeface="+mn-ea"/>
              <a:cs typeface="+mn-cs"/>
            </a:rPr>
            <a:t>Commodity prices</a:t>
          </a:r>
        </a:p>
        <a:p>
          <a:r>
            <a:rPr lang="en-US" sz="1200" b="1">
              <a:solidFill>
                <a:schemeClr val="tx1"/>
              </a:solidFill>
              <a:latin typeface="+mn-lt"/>
              <a:ea typeface="+mn-ea"/>
              <a:cs typeface="+mn-cs"/>
            </a:rPr>
            <a:t>·  </a:t>
          </a:r>
          <a:r>
            <a:rPr lang="en-US" sz="1200">
              <a:solidFill>
                <a:schemeClr val="tx1"/>
              </a:solidFill>
              <a:latin typeface="+mn-lt"/>
              <a:ea typeface="+mn-ea"/>
              <a:cs typeface="+mn-cs"/>
            </a:rPr>
            <a:t>Management skill</a:t>
          </a:r>
        </a:p>
        <a:p>
          <a:r>
            <a:rPr lang="en-US" sz="1200">
              <a:solidFill>
                <a:schemeClr val="tx1"/>
              </a:solidFill>
              <a:latin typeface="+mn-lt"/>
              <a:ea typeface="+mn-ea"/>
              <a:cs typeface="+mn-cs"/>
            </a:rPr>
            <a:t> </a:t>
          </a:r>
        </a:p>
        <a:p>
          <a:r>
            <a:rPr lang="en-US" sz="1200" b="1">
              <a:solidFill>
                <a:schemeClr val="tx1"/>
              </a:solidFill>
              <a:latin typeface="+mn-lt"/>
              <a:ea typeface="+mn-ea"/>
              <a:cs typeface="+mn-cs"/>
            </a:rPr>
            <a:t>Background and Specific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represents a forecast</a:t>
          </a:r>
          <a:r>
            <a:rPr lang="en-US" sz="1200" baseline="0">
              <a:solidFill>
                <a:schemeClr val="tx1"/>
              </a:solidFill>
              <a:latin typeface="+mn-lt"/>
              <a:ea typeface="+mn-ea"/>
              <a:cs typeface="+mn-cs"/>
            </a:rPr>
            <a:t> for 2016. </a:t>
          </a:r>
          <a:r>
            <a:rPr lang="en-US" sz="1200">
              <a:solidFill>
                <a:schemeClr val="tx1"/>
              </a:solidFill>
              <a:latin typeface="+mn-lt"/>
              <a:ea typeface="+mn-ea"/>
              <a:cs typeface="+mn-cs"/>
            </a:rPr>
            <a:t>The costs and returns estimates shown here are typical for growing grain and rotational crops in northern</a:t>
          </a:r>
          <a:r>
            <a:rPr lang="en-US" sz="1200" baseline="0">
              <a:solidFill>
                <a:schemeClr val="tx1"/>
              </a:solidFill>
              <a:latin typeface="+mn-lt"/>
              <a:ea typeface="+mn-ea"/>
              <a:cs typeface="+mn-cs"/>
            </a:rPr>
            <a:t> </a:t>
          </a:r>
          <a:r>
            <a:rPr lang="en-US" sz="1200">
              <a:solidFill>
                <a:schemeClr val="tx1"/>
              </a:solidFill>
              <a:latin typeface="+mn-lt"/>
              <a:ea typeface="+mn-ea"/>
              <a:cs typeface="+mn-cs"/>
            </a:rPr>
            <a:t>Idaho.</a:t>
          </a:r>
        </a:p>
        <a:p>
          <a:endParaRPr lang="en-US" sz="1200">
            <a:solidFill>
              <a:schemeClr val="tx1"/>
            </a:solidFill>
            <a:latin typeface="+mn-lt"/>
            <a:ea typeface="+mn-ea"/>
            <a:cs typeface="+mn-cs"/>
          </a:endParaRPr>
        </a:p>
        <a:p>
          <a:r>
            <a:rPr lang="en-US" sz="1200">
              <a:solidFill>
                <a:schemeClr val="tx1"/>
              </a:solidFill>
              <a:latin typeface="+mn-lt"/>
              <a:ea typeface="+mn-ea"/>
              <a:cs typeface="+mn-cs"/>
            </a:rPr>
            <a:t>Production practices most closely represent those in Latah County.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The Model Farm</a:t>
          </a:r>
          <a:endParaRPr lang="en-US" sz="1200">
            <a:solidFill>
              <a:schemeClr val="tx1"/>
            </a:solidFill>
            <a:latin typeface="+mn-lt"/>
            <a:ea typeface="+mn-ea"/>
            <a:cs typeface="+mn-cs"/>
          </a:endParaRPr>
        </a:p>
        <a:p>
          <a:pPr fontAlgn="base"/>
          <a:r>
            <a:rPr lang="en-US" sz="1200">
              <a:solidFill>
                <a:schemeClr val="tx1"/>
              </a:solidFill>
              <a:latin typeface="+mn-lt"/>
              <a:ea typeface="+mn-ea"/>
              <a:cs typeface="+mn-cs"/>
            </a:rPr>
            <a:t>This costs and returns estimate models a 2500-acre farm in</a:t>
          </a:r>
          <a:r>
            <a:rPr lang="en-US" sz="1200" baseline="0">
              <a:solidFill>
                <a:schemeClr val="tx1"/>
              </a:solidFill>
              <a:latin typeface="+mn-lt"/>
              <a:ea typeface="+mn-ea"/>
              <a:cs typeface="+mn-cs"/>
            </a:rPr>
            <a:t> a typical 3-year rotation of winter wheat followed by a spring grain and then a legume or another alternative to  grain such as canola or mustard. In a typical year equal proportions would be devoted to each crop. Crop choices will vary by year, depending on relative crop prices and other management considerations. Returns for typical rotations are listed in Table 1 Summary of Returns by Crop and Rotation ($/acre).</a:t>
          </a:r>
          <a:endParaRPr lang="en-US" sz="1200" b="0" i="0" baseline="0">
            <a:solidFill>
              <a:schemeClr val="tx1"/>
            </a:solidFill>
            <a:latin typeface="+mn-lt"/>
            <a:ea typeface="+mn-ea"/>
            <a:cs typeface="+mn-cs"/>
          </a:endParaRPr>
        </a:p>
        <a:p>
          <a:endParaRPr lang="en-US" sz="1200">
            <a:solidFill>
              <a:schemeClr val="tx1"/>
            </a:solidFill>
            <a:latin typeface="+mn-lt"/>
            <a:ea typeface="+mn-ea"/>
            <a:cs typeface="+mn-cs"/>
          </a:endParaRPr>
        </a:p>
        <a:p>
          <a:r>
            <a:rPr lang="en-US" sz="1200" b="1">
              <a:solidFill>
                <a:schemeClr val="tx1"/>
              </a:solidFill>
              <a:latin typeface="+mn-lt"/>
              <a:ea typeface="+mn-ea"/>
              <a:cs typeface="+mn-cs"/>
            </a:rPr>
            <a:t>Input Prices:</a:t>
          </a:r>
          <a:endParaRPr lang="en-US" sz="1200">
            <a:solidFill>
              <a:schemeClr val="tx1"/>
            </a:solidFill>
            <a:latin typeface="+mn-lt"/>
            <a:ea typeface="+mn-ea"/>
            <a:cs typeface="+mn-cs"/>
          </a:endParaRPr>
        </a:p>
        <a:p>
          <a:r>
            <a:rPr lang="en-US" sz="1200">
              <a:solidFill>
                <a:schemeClr val="tx1"/>
              </a:solidFill>
              <a:latin typeface="+mn-lt"/>
              <a:ea typeface="+mn-ea"/>
              <a:cs typeface="+mn-cs"/>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 survey of input suppliers for each region.</a:t>
          </a:r>
        </a:p>
        <a:p>
          <a:endParaRPr lang="en-US" sz="1200" b="1">
            <a:solidFill>
              <a:schemeClr val="tx1"/>
            </a:solidFill>
            <a:latin typeface="+mn-lt"/>
            <a:ea typeface="+mn-ea"/>
            <a:cs typeface="+mn-cs"/>
          </a:endParaRPr>
        </a:p>
        <a:p>
          <a:r>
            <a:rPr lang="en-US" sz="1200" b="1">
              <a:solidFill>
                <a:schemeClr val="tx1"/>
              </a:solidFill>
              <a:latin typeface="+mn-lt"/>
              <a:ea typeface="+mn-ea"/>
              <a:cs typeface="+mn-cs"/>
            </a:rPr>
            <a:t>Crop Prices:</a:t>
          </a:r>
          <a:endParaRPr lang="en-US" sz="1200">
            <a:solidFill>
              <a:schemeClr val="tx1"/>
            </a:solidFill>
            <a:latin typeface="+mn-lt"/>
            <a:ea typeface="+mn-ea"/>
            <a:cs typeface="+mn-cs"/>
          </a:endParaRPr>
        </a:p>
        <a:p>
          <a:r>
            <a:rPr lang="en-US" sz="1200">
              <a:solidFill>
                <a:schemeClr val="tx1"/>
              </a:solidFill>
              <a:latin typeface="+mn-lt"/>
              <a:ea typeface="+mn-ea"/>
              <a:cs typeface="+mn-cs"/>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 </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Machinery Costs:</a:t>
          </a:r>
          <a:endParaRPr lang="en-US" sz="1200">
            <a:solidFill>
              <a:schemeClr val="tx1"/>
            </a:solidFill>
            <a:latin typeface="+mn-lt"/>
            <a:ea typeface="+mn-ea"/>
            <a:cs typeface="+mn-cs"/>
          </a:endParaRPr>
        </a:p>
        <a:p>
          <a:r>
            <a:rPr lang="en-US" sz="1200">
              <a:solidFill>
                <a:schemeClr val="tx1"/>
              </a:solidFill>
              <a:latin typeface="+mn-lt"/>
              <a:ea typeface="+mn-ea"/>
              <a:cs typeface="+mn-cs"/>
            </a:rPr>
            <a:t>Fixed and variable costs of machinery operation are calculcated using a budget calculator program. Details on the machinery complement assumptions, usage, years of life, repair</a:t>
          </a:r>
          <a:r>
            <a:rPr lang="en-US" sz="1200" baseline="0">
              <a:solidFill>
                <a:schemeClr val="tx1"/>
              </a:solidFill>
              <a:latin typeface="+mn-lt"/>
              <a:ea typeface="+mn-ea"/>
              <a:cs typeface="+mn-cs"/>
            </a:rPr>
            <a:t> costs, fuel usage, etc., are available in the pdf file for each crop.</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Land Costs:</a:t>
          </a:r>
          <a:endParaRPr lang="en-US" sz="1200">
            <a:solidFill>
              <a:schemeClr val="tx1"/>
            </a:solidFill>
            <a:latin typeface="+mn-lt"/>
            <a:ea typeface="+mn-ea"/>
            <a:cs typeface="+mn-cs"/>
          </a:endParaRPr>
        </a:p>
        <a:p>
          <a:r>
            <a:rPr lang="en-US" sz="1200">
              <a:solidFill>
                <a:schemeClr val="tx1"/>
              </a:solidFill>
              <a:latin typeface="+mn-lt"/>
              <a:ea typeface="+mn-ea"/>
              <a:cs typeface="+mn-cs"/>
            </a:rPr>
            <a:t>Land costs, included either as real or as opportunity costs, are based on a typical lease agreement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endParaRPr lang="en-US" sz="1200">
            <a:solidFill>
              <a:schemeClr val="tx1"/>
            </a:solidFill>
            <a:latin typeface="+mn-lt"/>
            <a:ea typeface="+mn-ea"/>
            <a:cs typeface="+mn-cs"/>
          </a:endParaRPr>
        </a:p>
        <a:p>
          <a:r>
            <a:rPr lang="en-US" sz="1200">
              <a:solidFill>
                <a:schemeClr val="tx1"/>
              </a:solidFill>
              <a:latin typeface="+mn-lt"/>
              <a:ea typeface="+mn-ea"/>
              <a:cs typeface="+mn-cs"/>
            </a:rPr>
            <a:t>A typical lease agreement in the areas surveyed is a one-third land owner and two-third tenant crop share, with the land owner paying land taxes, one-third of the fertilizer cost, one-third of the chemical cost, and one-third of the crop insurance. The tenant covers all other production expenses. This crop-share percentage can be adjusted in the crop worksheets.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 Note that pea, lentil, and chickpea crop-share arrangements are typically 25/75.</a:t>
          </a:r>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Labor Costs:</a:t>
          </a:r>
          <a:endParaRPr lang="en-US" sz="1200">
            <a:solidFill>
              <a:schemeClr val="tx1"/>
            </a:solidFill>
            <a:latin typeface="+mn-lt"/>
            <a:ea typeface="+mn-ea"/>
            <a:cs typeface="+mn-cs"/>
          </a:endParaRPr>
        </a:p>
        <a:p>
          <a:r>
            <a:rPr lang="en-US" sz="1200">
              <a:solidFill>
                <a:schemeClr val="tx1"/>
              </a:solidFill>
              <a:latin typeface="+mn-lt"/>
              <a:ea typeface="+mn-ea"/>
              <a:cs typeface="+mn-cs"/>
            </a:rPr>
            <a:t>Labor rates include a base wage plus a percentage for Social Security, Medicare, unemployment insurance, and other labor overhead expenses. This rate can easily be changed on the Input</a:t>
          </a:r>
          <a:r>
            <a:rPr lang="en-US" sz="1200" baseline="0">
              <a:solidFill>
                <a:schemeClr val="tx1"/>
              </a:solidFill>
              <a:latin typeface="+mn-lt"/>
              <a:ea typeface="+mn-ea"/>
              <a:cs typeface="+mn-cs"/>
            </a:rPr>
            <a:t> Prices tab.</a:t>
          </a:r>
          <a:endParaRPr lang="en-US" sz="1200"/>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Interest Costs:</a:t>
          </a:r>
          <a:endParaRPr lang="en-US" sz="1200">
            <a:solidFill>
              <a:schemeClr val="tx1"/>
            </a:solidFill>
            <a:latin typeface="+mn-lt"/>
            <a:ea typeface="+mn-ea"/>
            <a:cs typeface="+mn-cs"/>
          </a:endParaRPr>
        </a:p>
        <a:p>
          <a:r>
            <a:rPr lang="en-US" sz="1200">
              <a:solidFill>
                <a:schemeClr val="tx1"/>
              </a:solidFill>
              <a:latin typeface="+mn-lt"/>
              <a:ea typeface="+mn-ea"/>
              <a:cs typeface="+mn-cs"/>
            </a:rPr>
            <a:t>Interest on operating capital is charged on total operating costs for six months for spring crops and for nine</a:t>
          </a:r>
          <a:r>
            <a:rPr lang="en-US" sz="1200" baseline="0">
              <a:solidFill>
                <a:schemeClr val="tx1"/>
              </a:solidFill>
              <a:latin typeface="+mn-lt"/>
              <a:ea typeface="+mn-ea"/>
              <a:cs typeface="+mn-cs"/>
            </a:rPr>
            <a:t> months for winter crops. </a:t>
          </a:r>
          <a:r>
            <a:rPr lang="en-US" sz="1200">
              <a:solidFill>
                <a:schemeClr val="tx1"/>
              </a:solidFill>
              <a:latin typeface="+mn-lt"/>
              <a:ea typeface="+mn-ea"/>
              <a:cs typeface="+mn-cs"/>
            </a:rPr>
            <a:t> The operating interest rate can be changed on the Input Prices sheet in the spreadsheet version of this bulletin. A general overhead charge of 5 percent of operating expenses is included to cover unallocated costs such as office expenses, phone service, legal and accounting fees, and utilities. </a:t>
          </a:r>
          <a:endParaRPr lang="en-US" sz="1200"/>
        </a:p>
        <a:p>
          <a:endParaRPr lang="en-US" sz="1200">
            <a:solidFill>
              <a:schemeClr val="tx1"/>
            </a:solidFill>
            <a:latin typeface="+mn-lt"/>
            <a:ea typeface="+mn-ea"/>
            <a:cs typeface="+mn-cs"/>
          </a:endParaRPr>
        </a:p>
        <a:p>
          <a:endParaRPr lang="en-US" sz="1200">
            <a:solidFill>
              <a:schemeClr val="tx1"/>
            </a:solidFill>
            <a:latin typeface="+mn-lt"/>
            <a:ea typeface="+mn-ea"/>
            <a:cs typeface="+mn-cs"/>
          </a:endParaRPr>
        </a:p>
        <a:p>
          <a:r>
            <a:rPr lang="en-US" sz="1200">
              <a:solidFill>
                <a:schemeClr val="tx1"/>
              </a:solidFill>
              <a:latin typeface="+mn-lt"/>
              <a:ea typeface="+mn-ea"/>
              <a:cs typeface="+mn-cs"/>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Color Coding:</a:t>
          </a:r>
          <a:endParaRPr lang="en-US" sz="1200">
            <a:solidFill>
              <a:schemeClr val="tx1"/>
            </a:solidFill>
            <a:latin typeface="+mn-lt"/>
            <a:ea typeface="+mn-ea"/>
            <a:cs typeface="+mn-cs"/>
          </a:endParaRPr>
        </a:p>
        <a:p>
          <a:r>
            <a:rPr lang="en-US" sz="1200">
              <a:solidFill>
                <a:schemeClr val="tx1"/>
              </a:solidFill>
              <a:latin typeface="+mn-lt"/>
              <a:ea typeface="+mn-ea"/>
              <a:cs typeface="+mn-cs"/>
            </a:rPr>
            <a:t>A color coding system is used to indicate the source of the data for each budget and to show which data can be adjusted in the spreadsheet version of this report. Data in orange type can be changed without affecting the underlying equations in this cost calculator. Data with purple type are from the Summary sheet (Table 1). In the Summary sheet, crop price</a:t>
          </a:r>
          <a:r>
            <a:rPr lang="en-US" sz="1200" baseline="0">
              <a:solidFill>
                <a:schemeClr val="tx1"/>
              </a:solidFill>
              <a:latin typeface="+mn-lt"/>
              <a:ea typeface="+mn-ea"/>
              <a:cs typeface="+mn-cs"/>
            </a:rPr>
            <a:t> and</a:t>
          </a:r>
          <a:r>
            <a:rPr lang="en-US" sz="1200">
              <a:solidFill>
                <a:schemeClr val="tx1"/>
              </a:solidFill>
              <a:latin typeface="+mn-lt"/>
              <a:ea typeface="+mn-ea"/>
              <a:cs typeface="+mn-cs"/>
            </a:rPr>
            <a:t> yield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Acknowledgments:</a:t>
          </a:r>
          <a:endParaRPr lang="en-US" sz="1200">
            <a:solidFill>
              <a:schemeClr val="tx1"/>
            </a:solidFill>
            <a:latin typeface="+mn-lt"/>
            <a:ea typeface="+mn-ea"/>
            <a:cs typeface="+mn-cs"/>
          </a:endParaRPr>
        </a:p>
        <a:p>
          <a:r>
            <a:rPr lang="en-US" sz="1200">
              <a:solidFill>
                <a:schemeClr val="tx1"/>
              </a:solidFill>
              <a:latin typeface="+mn-lt"/>
              <a:ea typeface="+mn-ea"/>
              <a:cs typeface="+mn-cs"/>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My colleagues at the University</a:t>
          </a:r>
          <a:r>
            <a:rPr lang="en-US" sz="1200" baseline="0">
              <a:solidFill>
                <a:schemeClr val="tx1"/>
              </a:solidFill>
              <a:latin typeface="+mn-lt"/>
              <a:ea typeface="+mn-ea"/>
              <a:cs typeface="+mn-cs"/>
            </a:rPr>
            <a:t> of Idaho, particularly Research Scientists Jim Davis and Traci Rauch, provided critical recommendations on herbicides, pesticides, and seeding rates. </a:t>
          </a:r>
          <a:r>
            <a:rPr lang="en-US" sz="1200">
              <a:solidFill>
                <a:schemeClr val="tx1"/>
              </a:solidFill>
              <a:latin typeface="+mn-lt"/>
              <a:ea typeface="+mn-ea"/>
              <a:cs typeface="+mn-cs"/>
            </a:rPr>
            <a:t>However, I take responsibility for any errors in these budgets. Please feel free to contact me with any comments or suggestions.</a:t>
          </a:r>
          <a:endParaRPr lang="en-US" sz="1200"/>
        </a:p>
        <a:p>
          <a:endParaRPr lang="en-US" sz="1200" b="1">
            <a:solidFill>
              <a:schemeClr val="tx1"/>
            </a:solidFill>
            <a:latin typeface="+mn-lt"/>
            <a:ea typeface="+mn-ea"/>
            <a:cs typeface="+mn-cs"/>
          </a:endParaRPr>
        </a:p>
        <a:p>
          <a:r>
            <a:rPr lang="en-US" sz="1200" b="1">
              <a:solidFill>
                <a:schemeClr val="tx1"/>
              </a:solidFill>
              <a:latin typeface="+mn-lt"/>
              <a:ea typeface="+mn-ea"/>
              <a:cs typeface="+mn-cs"/>
            </a:rPr>
            <a:t>Budget spreadsheets are available at the following link:</a:t>
          </a:r>
          <a:endParaRPr lang="en-US" sz="1200">
            <a:solidFill>
              <a:schemeClr val="tx1"/>
            </a:solidFill>
            <a:latin typeface="+mn-lt"/>
            <a:ea typeface="+mn-ea"/>
            <a:cs typeface="+mn-cs"/>
          </a:endParaRPr>
        </a:p>
        <a:p>
          <a:r>
            <a:rPr lang="en-US" sz="1200" u="sng">
              <a:solidFill>
                <a:schemeClr val="tx1"/>
              </a:solidFill>
              <a:latin typeface="+mn-lt"/>
              <a:ea typeface="+mn-ea"/>
              <a:cs typeface="+mn-cs"/>
            </a:rPr>
            <a:t>http://web.cals.uidaho.edu/idahoagbiz/enterprise-budgets/</a:t>
          </a:r>
        </a:p>
        <a:p>
          <a:endParaRPr lang="en-US" sz="1200">
            <a:solidFill>
              <a:schemeClr val="tx1"/>
            </a:solidFill>
            <a:latin typeface="+mn-lt"/>
            <a:ea typeface="+mn-ea"/>
            <a:cs typeface="+mn-cs"/>
          </a:endParaRPr>
        </a:p>
        <a:p>
          <a:endParaRPr lang="en-US" sz="1100">
            <a:solidFill>
              <a:srgbClr val="FF0000"/>
            </a:solidFill>
            <a:latin typeface="+mn-lt"/>
            <a:ea typeface="+mn-ea"/>
            <a:cs typeface="+mn-cs"/>
          </a:endParaRPr>
        </a:p>
        <a:p>
          <a:endParaRPr lang="en-US"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114300</xdr:colOff>
      <xdr:row>30</xdr:row>
      <xdr:rowOff>119380</xdr:rowOff>
    </xdr:from>
    <xdr:to>
      <xdr:col>3</xdr:col>
      <xdr:colOff>375884</xdr:colOff>
      <xdr:row>33</xdr:row>
      <xdr:rowOff>190530</xdr:rowOff>
    </xdr:to>
    <xdr:sp macro="" textlink="">
      <xdr:nvSpPr>
        <xdr:cNvPr id="2" name="TextBox 1"/>
        <xdr:cNvSpPr txBox="1"/>
      </xdr:nvSpPr>
      <xdr:spPr>
        <a:xfrm>
          <a:off x="3086100" y="6756400"/>
          <a:ext cx="1066800" cy="67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here for drop down menus.</a:t>
          </a:r>
        </a:p>
      </xdr:txBody>
    </xdr:sp>
    <xdr:clientData/>
  </xdr:twoCellAnchor>
  <xdr:twoCellAnchor>
    <xdr:from>
      <xdr:col>1</xdr:col>
      <xdr:colOff>2562860</xdr:colOff>
      <xdr:row>34</xdr:row>
      <xdr:rowOff>0</xdr:rowOff>
    </xdr:from>
    <xdr:to>
      <xdr:col>2</xdr:col>
      <xdr:colOff>76926</xdr:colOff>
      <xdr:row>35</xdr:row>
      <xdr:rowOff>38100</xdr:rowOff>
    </xdr:to>
    <xdr:cxnSp macro="">
      <xdr:nvCxnSpPr>
        <xdr:cNvPr id="4" name="Straight Arrow Connector 3"/>
        <xdr:cNvCxnSpPr/>
      </xdr:nvCxnSpPr>
      <xdr:spPr>
        <a:xfrm flipH="1">
          <a:off x="2933700" y="7442200"/>
          <a:ext cx="127000" cy="241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xdr:colOff>
      <xdr:row>34</xdr:row>
      <xdr:rowOff>25400</xdr:rowOff>
    </xdr:from>
    <xdr:to>
      <xdr:col>2</xdr:col>
      <xdr:colOff>101600</xdr:colOff>
      <xdr:row>36</xdr:row>
      <xdr:rowOff>76200</xdr:rowOff>
    </xdr:to>
    <xdr:cxnSp macro="">
      <xdr:nvCxnSpPr>
        <xdr:cNvPr id="5" name="Straight Arrow Connector 4"/>
        <xdr:cNvCxnSpPr/>
      </xdr:nvCxnSpPr>
      <xdr:spPr>
        <a:xfrm flipH="1">
          <a:off x="2984500" y="7467600"/>
          <a:ext cx="88900" cy="444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177349</xdr:colOff>
      <xdr:row>2</xdr:row>
      <xdr:rowOff>91587</xdr:rowOff>
    </xdr:from>
    <xdr:to>
      <xdr:col>7</xdr:col>
      <xdr:colOff>575982</xdr:colOff>
      <xdr:row>28</xdr:row>
      <xdr:rowOff>54444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201908</xdr:colOff>
      <xdr:row>28</xdr:row>
      <xdr:rowOff>209341</xdr:rowOff>
    </xdr:from>
    <xdr:to>
      <xdr:col>10</xdr:col>
      <xdr:colOff>31401</xdr:colOff>
      <xdr:row>55</xdr:row>
      <xdr:rowOff>157110</xdr:rowOff>
    </xdr:to>
    <xdr:graphicFrame macro="">
      <xdr:nvGraphicFramePr>
        <xdr:cNvPr id="41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331470</xdr:colOff>
      <xdr:row>2</xdr:row>
      <xdr:rowOff>121920</xdr:rowOff>
    </xdr:from>
    <xdr:to>
      <xdr:col>13</xdr:col>
      <xdr:colOff>3810</xdr:colOff>
      <xdr:row>36</xdr:row>
      <xdr:rowOff>131445</xdr:rowOff>
    </xdr:to>
    <xdr:graphicFrame macro="">
      <xdr:nvGraphicFramePr>
        <xdr:cNvPr id="51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867335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id="8" name="Table289" displayName="Table289" ref="B15:L24" headerRowCount="0" totalsRowShown="0" headerRowDxfId="68" dataDxfId="67" tableBorderDxfId="66">
  <tableColumns count="11">
    <tableColumn id="1" name="Column1" headerRowDxfId="65" dataDxfId="64" headerRowCellStyle="Hyperlink" dataCellStyle="Hyperlink"/>
    <tableColumn id="2" name="Column2" headerRowDxfId="63" dataDxfId="62"/>
    <tableColumn id="3" name="Column3" headerRowDxfId="61" dataDxfId="60"/>
    <tableColumn id="4" name="Column4" headerRowDxfId="59" dataDxfId="58"/>
    <tableColumn id="5" name="Column5" headerRowDxfId="57" dataDxfId="56"/>
    <tableColumn id="6" name="Column6" headerRowDxfId="55" dataDxfId="54"/>
    <tableColumn id="7" name="Column7" headerRowDxfId="53" dataDxfId="52"/>
    <tableColumn id="8" name="Column8" headerRowDxfId="51" dataDxfId="50"/>
    <tableColumn id="9" name="Column9" headerRowDxfId="49" dataDxfId="48"/>
    <tableColumn id="10" name="Column10" headerRowDxfId="47" dataDxfId="46"/>
    <tableColumn id="11" name="Column11" headerRowDxfId="45" dataDxfId="44"/>
  </tableColumns>
  <tableStyleInfo name="TableStyleLight1" showFirstColumn="0" showLastColumn="0" showRowStripes="1" showColumnStripes="0"/>
</table>
</file>

<file path=xl/tables/table2.xml><?xml version="1.0" encoding="utf-8"?>
<table xmlns="http://schemas.openxmlformats.org/spreadsheetml/2006/main" id="1" name="Table2892" displayName="Table2892" ref="A7:K16" headerRowCount="0" totalsRowShown="0" headerRowDxfId="43" dataDxfId="42" tableBorderDxfId="41">
  <tableColumns count="11">
    <tableColumn id="1" name="Column1" headerRowDxfId="40" dataDxfId="39" headerRowCellStyle="Hyperlink" dataCellStyle="Hyperlink"/>
    <tableColumn id="2" name="Column2" headerRowDxfId="38" dataDxfId="37"/>
    <tableColumn id="3" name="Column3" headerRowDxfId="36" dataDxfId="35"/>
    <tableColumn id="4" name="Column4" headerRowDxfId="34" dataDxfId="33"/>
    <tableColumn id="5" name="Column5" headerRowDxfId="32" dataDxfId="31"/>
    <tableColumn id="6" name="Column6" headerRowDxfId="30" dataDxfId="29"/>
    <tableColumn id="7" name="Column7" headerRowDxfId="28" dataDxfId="27"/>
    <tableColumn id="8" name="Column8" headerRowDxfId="26" dataDxfId="25"/>
    <tableColumn id="9" name="Column9" headerRowDxfId="24" dataDxfId="23"/>
    <tableColumn id="10" name="Column10" headerRowDxfId="22" dataDxfId="21"/>
    <tableColumn id="11" name="Column11" headerRowDxfId="20" dataDxfId="19"/>
  </tableColumns>
  <tableStyleInfo name="TableStyleLight1" showFirstColumn="0" showLastColumn="0" showRowStripes="1" showColumnStripes="0"/>
</table>
</file>

<file path=xl/tables/table3.xml><?xml version="1.0" encoding="utf-8"?>
<table xmlns="http://schemas.openxmlformats.org/spreadsheetml/2006/main" id="59" name="Table160" displayName="Table160" ref="A6:H29" headerRowCount="0" totalsRowShown="0" headerRowDxfId="18" dataDxfId="17" tableBorderDxfId="16">
  <sortState ref="A6:L17">
    <sortCondition descending="1" ref="D36:D47"/>
  </sortState>
  <tableColumns count="8">
    <tableColumn id="1" name="Column1" headerRowDxfId="15" dataDxfId="14"/>
    <tableColumn id="5" name="Column5" headerRowDxfId="13" dataDxfId="12"/>
    <tableColumn id="6" name="Column6" headerRowDxfId="11" dataDxfId="10"/>
    <tableColumn id="7" name="Column7" headerRowDxfId="9" dataDxfId="8"/>
    <tableColumn id="8" name="Column8" headerRowDxfId="7" dataDxfId="6"/>
    <tableColumn id="9" name="Column9" headerRowDxfId="5" dataDxfId="4"/>
    <tableColumn id="10" name="Column10" headerRowDxfId="3" dataDxfId="2"/>
    <tableColumn id="11" name="Column11" headerRowDxfId="1"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oundaryagblog.wordpress.com/" TargetMode="External"/><Relationship Id="rId1" Type="http://schemas.openxmlformats.org/officeDocument/2006/relationships/hyperlink" Target="mailto:kpainter@uidaho.ed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CA52"/>
  <sheetViews>
    <sheetView tabSelected="1" topLeftCell="A10" zoomScaleNormal="100" workbookViewId="0">
      <selection activeCell="E29" sqref="E29"/>
    </sheetView>
  </sheetViews>
  <sheetFormatPr defaultColWidth="8.7109375" defaultRowHeight="12.75" x14ac:dyDescent="0.2"/>
  <cols>
    <col min="1" max="1" width="9.42578125" style="40" customWidth="1"/>
    <col min="2" max="3" width="8.7109375" style="40" customWidth="1"/>
    <col min="4" max="4" width="17.140625" style="40" customWidth="1"/>
    <col min="5" max="5" width="10" style="40" customWidth="1"/>
    <col min="6" max="6" width="8.7109375" style="40" customWidth="1"/>
    <col min="7" max="7" width="2.28515625" style="40" customWidth="1"/>
    <col min="8" max="8" width="6.85546875" style="40" customWidth="1"/>
    <col min="9" max="10" width="8.7109375" style="40" customWidth="1"/>
    <col min="11" max="11" width="4.7109375" style="40" customWidth="1"/>
    <col min="12" max="16384" width="8.7109375" style="40"/>
  </cols>
  <sheetData>
    <row r="7" spans="9:11" ht="33.6" customHeight="1" x14ac:dyDescent="0.2"/>
    <row r="8" spans="9:11" ht="33.6" customHeight="1" x14ac:dyDescent="0.2"/>
    <row r="9" spans="9:11" ht="33.6" customHeight="1" x14ac:dyDescent="0.2"/>
    <row r="10" spans="9:11" ht="33.6" customHeight="1" x14ac:dyDescent="0.2"/>
    <row r="14" spans="9:11" x14ac:dyDescent="0.2">
      <c r="I14" s="542"/>
      <c r="K14" s="542"/>
    </row>
    <row r="15" spans="9:11" x14ac:dyDescent="0.2">
      <c r="I15" s="543"/>
      <c r="K15" s="543"/>
    </row>
    <row r="16" spans="9:11" x14ac:dyDescent="0.2">
      <c r="I16" s="543"/>
      <c r="K16" s="543"/>
    </row>
    <row r="17" spans="4:11" ht="12.75" customHeight="1" x14ac:dyDescent="0.2">
      <c r="H17" s="542"/>
      <c r="I17" s="543"/>
      <c r="K17" s="543"/>
    </row>
    <row r="18" spans="4:11" ht="12.75" customHeight="1" x14ac:dyDescent="0.2">
      <c r="H18" s="543"/>
      <c r="I18" s="543"/>
      <c r="K18" s="543"/>
    </row>
    <row r="19" spans="4:11" x14ac:dyDescent="0.2">
      <c r="H19" s="543"/>
      <c r="I19" s="543"/>
      <c r="K19" s="543"/>
    </row>
    <row r="20" spans="4:11" x14ac:dyDescent="0.2">
      <c r="H20" s="543"/>
      <c r="I20" s="543"/>
      <c r="K20" s="543"/>
    </row>
    <row r="21" spans="4:11" x14ac:dyDescent="0.2">
      <c r="H21" s="543"/>
      <c r="I21" s="543"/>
      <c r="K21" s="543"/>
    </row>
    <row r="22" spans="4:11" ht="24.75" customHeight="1" x14ac:dyDescent="0.2">
      <c r="H22" s="543"/>
      <c r="I22" s="543"/>
      <c r="K22" s="543"/>
    </row>
    <row r="26" spans="4:11" ht="15.75" x14ac:dyDescent="0.25">
      <c r="E26" s="97" t="s">
        <v>542</v>
      </c>
    </row>
    <row r="27" spans="4:11" ht="15.75" x14ac:dyDescent="0.25">
      <c r="E27" s="97" t="s">
        <v>604</v>
      </c>
    </row>
    <row r="28" spans="4:11" ht="15.75" x14ac:dyDescent="0.25">
      <c r="E28" s="97"/>
    </row>
    <row r="29" spans="4:11" ht="15.75" x14ac:dyDescent="0.25">
      <c r="E29" s="97"/>
    </row>
    <row r="30" spans="4:11" x14ac:dyDescent="0.2">
      <c r="D30" s="68" t="s">
        <v>382</v>
      </c>
      <c r="F30" s="58"/>
    </row>
    <row r="31" spans="4:11" s="197" customFormat="1" x14ac:dyDescent="0.2">
      <c r="D31" s="320"/>
      <c r="E31" s="321" t="s">
        <v>14</v>
      </c>
      <c r="F31" s="321"/>
      <c r="G31" s="321"/>
      <c r="H31" s="321"/>
    </row>
    <row r="32" spans="4:11" s="482" customFormat="1" x14ac:dyDescent="0.2">
      <c r="D32" s="320"/>
      <c r="E32" s="321" t="s">
        <v>553</v>
      </c>
      <c r="F32" s="321"/>
      <c r="G32" s="321"/>
      <c r="H32" s="321"/>
    </row>
    <row r="33" spans="4:8" s="197" customFormat="1" x14ac:dyDescent="0.2">
      <c r="D33" s="320"/>
      <c r="E33" s="321" t="s">
        <v>15</v>
      </c>
      <c r="F33" s="321"/>
      <c r="G33" s="321"/>
      <c r="H33" s="321"/>
    </row>
    <row r="34" spans="4:8" s="197" customFormat="1" x14ac:dyDescent="0.2">
      <c r="D34"/>
      <c r="E34" s="196" t="s">
        <v>421</v>
      </c>
      <c r="F34" s="415"/>
      <c r="G34" s="196"/>
      <c r="H34" s="196"/>
    </row>
    <row r="35" spans="4:8" s="197" customFormat="1" x14ac:dyDescent="0.2">
      <c r="D35" s="320"/>
      <c r="E35" s="321" t="s">
        <v>349</v>
      </c>
      <c r="F35" s="321"/>
      <c r="G35" s="321"/>
      <c r="H35" s="321"/>
    </row>
    <row r="36" spans="4:8" s="197" customFormat="1" ht="13.5" customHeight="1" x14ac:dyDescent="0.2">
      <c r="D36" s="320"/>
      <c r="E36" s="321" t="s">
        <v>138</v>
      </c>
      <c r="F36" s="321"/>
      <c r="G36" s="321"/>
      <c r="H36" s="321"/>
    </row>
    <row r="37" spans="4:8" s="197" customFormat="1" x14ac:dyDescent="0.2">
      <c r="D37" s="320"/>
      <c r="E37" s="321" t="s">
        <v>17</v>
      </c>
      <c r="F37" s="321"/>
      <c r="G37" s="321"/>
      <c r="H37" s="321"/>
    </row>
    <row r="38" spans="4:8" s="401" customFormat="1" x14ac:dyDescent="0.2">
      <c r="D38" s="320"/>
      <c r="E38" s="321" t="s">
        <v>401</v>
      </c>
      <c r="F38" s="321"/>
      <c r="G38" s="321"/>
      <c r="H38" s="321"/>
    </row>
    <row r="39" spans="4:8" s="197" customFormat="1" x14ac:dyDescent="0.2">
      <c r="D39" s="320"/>
      <c r="E39" s="321" t="s">
        <v>518</v>
      </c>
      <c r="F39" s="321"/>
      <c r="G39" s="321"/>
      <c r="H39" s="321"/>
    </row>
    <row r="40" spans="4:8" s="197" customFormat="1" x14ac:dyDescent="0.2">
      <c r="D40" s="320"/>
      <c r="E40" s="321" t="s">
        <v>6</v>
      </c>
      <c r="F40" s="321"/>
      <c r="G40" s="321"/>
      <c r="H40" s="321"/>
    </row>
    <row r="41" spans="4:8" s="197" customFormat="1" x14ac:dyDescent="0.2">
      <c r="F41" s="58"/>
    </row>
    <row r="42" spans="4:8" s="68" customFormat="1" x14ac:dyDescent="0.2">
      <c r="E42" s="194" t="s">
        <v>306</v>
      </c>
    </row>
    <row r="43" spans="4:8" s="68" customFormat="1" x14ac:dyDescent="0.2">
      <c r="E43" s="194" t="s">
        <v>480</v>
      </c>
    </row>
    <row r="44" spans="4:8" s="68" customFormat="1" x14ac:dyDescent="0.2">
      <c r="E44" s="194" t="s">
        <v>307</v>
      </c>
    </row>
    <row r="45" spans="4:8" s="68" customFormat="1" x14ac:dyDescent="0.2">
      <c r="E45" s="194" t="s">
        <v>481</v>
      </c>
    </row>
    <row r="46" spans="4:8" s="68" customFormat="1" x14ac:dyDescent="0.2">
      <c r="E46" s="194" t="s">
        <v>482</v>
      </c>
    </row>
    <row r="47" spans="4:8" s="68" customFormat="1" x14ac:dyDescent="0.2">
      <c r="E47" s="194" t="s">
        <v>483</v>
      </c>
    </row>
    <row r="48" spans="4:8" s="68" customFormat="1" x14ac:dyDescent="0.2">
      <c r="E48" s="195" t="s">
        <v>308</v>
      </c>
    </row>
    <row r="49" spans="1:79" s="68" customFormat="1" x14ac:dyDescent="0.2">
      <c r="E49" s="195" t="s">
        <v>603</v>
      </c>
    </row>
    <row r="51" spans="1:79" customFormat="1" x14ac:dyDescent="0.2">
      <c r="A51" s="40"/>
      <c r="B51" s="40"/>
      <c r="C51" s="544"/>
      <c r="D51" s="545"/>
      <c r="E51" s="545"/>
      <c r="F51" s="545"/>
      <c r="G51" s="545"/>
      <c r="H51" s="545"/>
      <c r="I51" s="545"/>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row>
    <row r="52" spans="1:79" ht="12.6" customHeight="1" x14ac:dyDescent="0.2">
      <c r="D52" s="196"/>
      <c r="E52" s="321"/>
      <c r="F52" s="321"/>
      <c r="G52" s="321"/>
      <c r="H52" s="321"/>
    </row>
  </sheetData>
  <mergeCells count="4">
    <mergeCell ref="H17:H22"/>
    <mergeCell ref="C51:I51"/>
    <mergeCell ref="I14:I22"/>
    <mergeCell ref="K14:K22"/>
  </mergeCells>
  <phoneticPr fontId="7" type="noConversion"/>
  <hyperlinks>
    <hyperlink ref="E48" r:id="rId1"/>
    <hyperlink ref="D31:H31" location="'Soft White Winter Wheat'!A1" display="EBB1-SWW-09 "/>
    <hyperlink ref="D33:H33" location="'Soft White Spring Wheat'!A1" display="EBB1-SSW-09 "/>
    <hyperlink ref="D35:H35" location="'Spring Barley'!A1" display="EBB1-FB-09 "/>
    <hyperlink ref="D36:H36" location="'Spring Lentils'!A1" display="EBB1-Len-09 "/>
    <hyperlink ref="D37:H37" location="'Spring Peas'!A1" display="EBB1-SP-09 "/>
    <hyperlink ref="D39:H39" location="Garbanzos!A1" display="EBB1-Garb-09 "/>
    <hyperlink ref="D40:H40" location="'Spring Canola'!A1" display="EBB1-SC-09 "/>
    <hyperlink ref="D35:E35" location="'Feed Barley'!A1" display="EBB1-FB-09 "/>
    <hyperlink ref="D36:E36" location="'Spring Lentils'!A1" display="EBB1-Len-09 "/>
    <hyperlink ref="D37:E37" location="'Spring Peas'!A1" display="EBB1-SP-09 "/>
    <hyperlink ref="D39:E39" location="Garbanzos!A1" display="EBB1-Garb-09 "/>
    <hyperlink ref="D35:F35" location="'Feed Barley'!A1" display="EBB1-FB-09 "/>
    <hyperlink ref="D36:F36" location="'Spring Lentils'!A1" display="EBB1-Len-09 "/>
    <hyperlink ref="D37:F37" location="'Spring Peas'!A1" display="EBB1-SP-09 "/>
    <hyperlink ref="D39:F39" location="Garbanzos!A1" display="EBB1-Garb-09 "/>
    <hyperlink ref="E31" location="'Soft White Winter Wheat'!A1" display="EBB1-SWW-09 "/>
    <hyperlink ref="E33" location="'Soft White Spring Wheat'!A1" display="EBB1-SSW-09 "/>
    <hyperlink ref="E35" location="'Feed Barley'!A1" display="EBB1-FB-09 "/>
    <hyperlink ref="E36" location="'Spring Lentils'!A1" display="EBB1-Len-09 "/>
    <hyperlink ref="E37" location="'Spring Peas'!A1" display="EBB1-SP-09 "/>
    <hyperlink ref="E39" location="Chickpeas!A1" display="Chickpeas"/>
    <hyperlink ref="E40" location="'Spring Canola'!A1" display="EBB1-SC-09 "/>
    <hyperlink ref="E38:F38" location="'Austrian Winter Peas'!A1" display="Austrian Winter Peas"/>
    <hyperlink ref="E34:H34" location="'Dark Northern Spring Wheat'!A1" display="Dark Northern Spring Wheat"/>
    <hyperlink ref="E32" location="'Hard Red Winter Wheat'!A1" display="Hard Red Winter Wheat"/>
    <hyperlink ref="E49" r:id="rId2"/>
  </hyperlinks>
  <printOptions horizontalCentered="1"/>
  <pageMargins left="0.75" right="0.75" top="1" bottom="1" header="0" footer="0.5"/>
  <pageSetup scale="86" orientation="portrait" r:id="rId3"/>
  <headerFooter alignWithMargins="0">
    <oddFooter>&amp;L&amp;A&amp;C&amp;F&amp;R
&amp;D</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zoomScaleNormal="100" workbookViewId="0">
      <selection activeCell="B2" sqref="B2:E22"/>
    </sheetView>
  </sheetViews>
  <sheetFormatPr defaultColWidth="8.7109375" defaultRowHeight="12.75" x14ac:dyDescent="0.2"/>
  <cols>
    <col min="1" max="1" width="3.140625" customWidth="1"/>
    <col min="2" max="2" width="11" customWidth="1"/>
    <col min="3" max="3" width="16.28515625" customWidth="1"/>
    <col min="4" max="4" width="28.5703125" customWidth="1"/>
    <col min="5" max="5" width="40.5703125" customWidth="1"/>
    <col min="6" max="26" width="8.7109375" style="40" customWidth="1"/>
  </cols>
  <sheetData>
    <row r="1" spans="1:5" ht="17.25" customHeight="1" x14ac:dyDescent="0.2">
      <c r="A1" s="40"/>
      <c r="B1" s="40"/>
      <c r="C1" s="40"/>
      <c r="D1" s="40"/>
      <c r="E1" s="40"/>
    </row>
    <row r="2" spans="1:5" ht="39" customHeight="1" x14ac:dyDescent="0.25">
      <c r="A2" s="40"/>
      <c r="B2" s="571" t="s">
        <v>546</v>
      </c>
      <c r="C2" s="572"/>
      <c r="D2" s="572"/>
      <c r="E2" s="572"/>
    </row>
    <row r="3" spans="1:5" ht="6" customHeight="1" x14ac:dyDescent="0.25">
      <c r="A3" s="40"/>
      <c r="B3" s="174"/>
      <c r="C3" s="175"/>
      <c r="D3" s="175"/>
      <c r="E3" s="175"/>
    </row>
    <row r="4" spans="1:5" ht="33.75" customHeight="1" x14ac:dyDescent="0.2">
      <c r="A4" s="40"/>
      <c r="B4" s="176" t="s">
        <v>287</v>
      </c>
      <c r="C4" s="176" t="s">
        <v>289</v>
      </c>
      <c r="D4" s="176" t="s">
        <v>291</v>
      </c>
      <c r="E4" s="176" t="s">
        <v>292</v>
      </c>
    </row>
    <row r="5" spans="1:5" x14ac:dyDescent="0.2">
      <c r="A5" s="40"/>
      <c r="B5" s="67"/>
      <c r="C5" s="67"/>
      <c r="D5" s="67"/>
      <c r="E5" s="67" t="s">
        <v>193</v>
      </c>
    </row>
    <row r="6" spans="1:5" x14ac:dyDescent="0.2">
      <c r="A6" s="40"/>
      <c r="B6" s="67" t="s">
        <v>274</v>
      </c>
      <c r="C6" s="67" t="s">
        <v>229</v>
      </c>
      <c r="D6" s="67" t="s">
        <v>23</v>
      </c>
      <c r="E6" s="67" t="s">
        <v>194</v>
      </c>
    </row>
    <row r="7" spans="1:5" x14ac:dyDescent="0.2">
      <c r="A7" s="40"/>
      <c r="B7" s="38"/>
      <c r="C7" s="38"/>
      <c r="D7" s="38"/>
      <c r="E7" s="38"/>
    </row>
    <row r="8" spans="1:5" x14ac:dyDescent="0.2">
      <c r="A8" s="40"/>
      <c r="B8" s="5" t="s">
        <v>274</v>
      </c>
      <c r="C8" s="5" t="s">
        <v>259</v>
      </c>
      <c r="D8" s="5" t="s">
        <v>56</v>
      </c>
      <c r="E8" s="5"/>
    </row>
    <row r="9" spans="1:5" x14ac:dyDescent="0.2">
      <c r="A9" s="40"/>
      <c r="B9" s="67"/>
      <c r="C9" s="67"/>
      <c r="D9" s="67"/>
      <c r="E9" s="67"/>
    </row>
    <row r="10" spans="1:5" x14ac:dyDescent="0.2">
      <c r="A10" s="40"/>
      <c r="B10" s="37" t="s">
        <v>274</v>
      </c>
      <c r="C10" s="37" t="s">
        <v>241</v>
      </c>
      <c r="D10" s="37" t="s">
        <v>62</v>
      </c>
      <c r="E10" s="37" t="s">
        <v>151</v>
      </c>
    </row>
    <row r="11" spans="1:5" x14ac:dyDescent="0.2">
      <c r="A11" s="40"/>
      <c r="B11" s="38"/>
      <c r="C11" s="38"/>
      <c r="D11" s="38"/>
      <c r="E11" s="38"/>
    </row>
    <row r="12" spans="1:5" x14ac:dyDescent="0.2">
      <c r="A12" s="56"/>
      <c r="B12" s="5" t="s">
        <v>154</v>
      </c>
      <c r="C12" s="5" t="s">
        <v>155</v>
      </c>
      <c r="D12" s="5"/>
      <c r="E12" s="5"/>
    </row>
    <row r="13" spans="1:5" x14ac:dyDescent="0.2">
      <c r="A13" s="40"/>
      <c r="B13" s="11"/>
      <c r="C13" s="11"/>
      <c r="D13" s="11"/>
      <c r="E13" s="437" t="s">
        <v>458</v>
      </c>
    </row>
    <row r="14" spans="1:5" x14ac:dyDescent="0.2">
      <c r="A14" s="40"/>
      <c r="B14" s="3" t="s">
        <v>154</v>
      </c>
      <c r="C14" s="3" t="s">
        <v>131</v>
      </c>
      <c r="D14" s="438" t="s">
        <v>449</v>
      </c>
      <c r="E14" s="3" t="s">
        <v>459</v>
      </c>
    </row>
    <row r="15" spans="1:5" x14ac:dyDescent="0.2">
      <c r="A15" s="40"/>
      <c r="B15" s="11"/>
      <c r="C15" s="11"/>
      <c r="D15" s="437"/>
      <c r="E15" s="11"/>
    </row>
    <row r="16" spans="1:5" x14ac:dyDescent="0.2">
      <c r="A16" s="40"/>
      <c r="B16" s="437" t="s">
        <v>213</v>
      </c>
      <c r="C16" s="437" t="s">
        <v>118</v>
      </c>
      <c r="D16" s="437" t="s">
        <v>119</v>
      </c>
      <c r="E16" s="437" t="s">
        <v>456</v>
      </c>
    </row>
    <row r="17" spans="1:26" x14ac:dyDescent="0.2">
      <c r="A17" s="40"/>
      <c r="B17" s="38"/>
      <c r="C17" s="38"/>
      <c r="D17" s="38"/>
      <c r="E17" s="38"/>
    </row>
    <row r="18" spans="1:26" x14ac:dyDescent="0.2">
      <c r="A18" s="40"/>
      <c r="B18" s="5" t="s">
        <v>288</v>
      </c>
      <c r="C18" s="5" t="s">
        <v>293</v>
      </c>
      <c r="D18" s="5" t="s">
        <v>28</v>
      </c>
      <c r="E18" s="5"/>
    </row>
    <row r="19" spans="1:26" x14ac:dyDescent="0.2">
      <c r="A19" s="40"/>
      <c r="B19" s="39"/>
      <c r="C19" s="39"/>
      <c r="D19" s="39"/>
      <c r="E19" s="11" t="s">
        <v>29</v>
      </c>
      <c r="L19"/>
      <c r="M19"/>
      <c r="N19"/>
      <c r="O19"/>
      <c r="P19"/>
      <c r="Q19"/>
      <c r="R19"/>
      <c r="S19"/>
      <c r="T19"/>
      <c r="U19"/>
      <c r="V19"/>
      <c r="W19"/>
      <c r="X19"/>
      <c r="Y19"/>
      <c r="Z19"/>
    </row>
    <row r="20" spans="1:26" x14ac:dyDescent="0.2">
      <c r="A20" s="40"/>
      <c r="B20" s="3" t="s">
        <v>271</v>
      </c>
      <c r="C20" s="3" t="s">
        <v>245</v>
      </c>
      <c r="D20" s="3" t="s">
        <v>54</v>
      </c>
      <c r="E20" s="3" t="s">
        <v>283</v>
      </c>
      <c r="L20"/>
      <c r="M20"/>
      <c r="N20"/>
      <c r="O20"/>
      <c r="P20"/>
      <c r="Q20"/>
      <c r="R20"/>
      <c r="S20"/>
      <c r="T20"/>
      <c r="U20"/>
      <c r="V20"/>
      <c r="W20"/>
      <c r="X20"/>
      <c r="Y20"/>
      <c r="Z20"/>
    </row>
    <row r="21" spans="1:26" x14ac:dyDescent="0.2">
      <c r="A21" s="40"/>
      <c r="B21" s="38"/>
      <c r="C21" s="38"/>
      <c r="D21" s="38"/>
      <c r="E21" s="38" t="s">
        <v>29</v>
      </c>
      <c r="L21"/>
      <c r="M21"/>
      <c r="N21"/>
      <c r="O21"/>
      <c r="P21"/>
      <c r="Q21"/>
      <c r="R21"/>
      <c r="S21"/>
      <c r="T21"/>
      <c r="U21"/>
      <c r="V21"/>
      <c r="W21"/>
      <c r="X21"/>
      <c r="Y21"/>
      <c r="Z21"/>
    </row>
    <row r="22" spans="1:26" x14ac:dyDescent="0.2">
      <c r="A22" s="40"/>
      <c r="B22" s="5" t="s">
        <v>271</v>
      </c>
      <c r="C22" s="5" t="s">
        <v>246</v>
      </c>
      <c r="D22" s="5" t="s">
        <v>55</v>
      </c>
      <c r="E22" s="5" t="s">
        <v>187</v>
      </c>
      <c r="L22"/>
      <c r="M22"/>
      <c r="N22"/>
      <c r="O22"/>
      <c r="P22"/>
      <c r="Q22"/>
      <c r="R22"/>
      <c r="S22"/>
      <c r="T22"/>
      <c r="U22"/>
      <c r="V22"/>
      <c r="W22"/>
      <c r="X22"/>
      <c r="Y22"/>
      <c r="Z22"/>
    </row>
    <row r="23" spans="1:26" x14ac:dyDescent="0.2">
      <c r="A23" s="40"/>
      <c r="B23" s="40"/>
      <c r="C23" s="40"/>
      <c r="D23" s="40"/>
      <c r="E23" s="40"/>
    </row>
    <row r="24" spans="1:26" x14ac:dyDescent="0.2">
      <c r="A24" s="40"/>
      <c r="B24" s="40"/>
      <c r="C24" s="40"/>
      <c r="D24" s="40"/>
      <c r="E24" s="40"/>
    </row>
    <row r="25" spans="1:26" x14ac:dyDescent="0.2">
      <c r="A25" s="40"/>
      <c r="B25" s="40"/>
      <c r="C25" s="40"/>
      <c r="D25" s="40"/>
      <c r="E25" s="40"/>
    </row>
    <row r="26" spans="1:26" x14ac:dyDescent="0.2">
      <c r="A26" s="40"/>
      <c r="B26" s="40"/>
      <c r="C26" s="40"/>
      <c r="D26" s="40"/>
      <c r="E26" s="40"/>
    </row>
    <row r="27" spans="1:26" x14ac:dyDescent="0.2">
      <c r="A27" s="40"/>
      <c r="B27" s="40"/>
      <c r="C27" s="40"/>
      <c r="D27" s="40"/>
      <c r="E27" s="40"/>
    </row>
    <row r="28" spans="1:26" x14ac:dyDescent="0.2">
      <c r="A28" s="40"/>
      <c r="B28" s="40"/>
      <c r="C28" s="40"/>
      <c r="D28" s="40"/>
      <c r="E28" s="40"/>
    </row>
    <row r="29" spans="1:26" x14ac:dyDescent="0.2">
      <c r="A29" s="40"/>
      <c r="B29" s="40"/>
      <c r="C29" s="40"/>
      <c r="D29" s="40"/>
      <c r="E29" s="40"/>
    </row>
    <row r="30" spans="1:26" x14ac:dyDescent="0.2">
      <c r="A30" s="40"/>
      <c r="B30" s="40"/>
      <c r="C30" s="40"/>
      <c r="D30" s="40"/>
      <c r="E30" s="40"/>
    </row>
    <row r="31" spans="1:26" x14ac:dyDescent="0.2">
      <c r="A31" s="40"/>
      <c r="B31" s="40"/>
      <c r="C31" s="40"/>
      <c r="D31" s="40"/>
      <c r="E31" s="40"/>
    </row>
    <row r="32" spans="1:26" x14ac:dyDescent="0.2">
      <c r="A32" s="40"/>
      <c r="B32" s="40"/>
      <c r="C32" s="40"/>
      <c r="D32" s="40"/>
      <c r="E32" s="40"/>
    </row>
    <row r="33" spans="1:5" x14ac:dyDescent="0.2">
      <c r="A33" s="40"/>
      <c r="B33" s="40"/>
      <c r="C33" s="40"/>
      <c r="D33" s="40"/>
      <c r="E33" s="40"/>
    </row>
    <row r="34" spans="1:5" x14ac:dyDescent="0.2">
      <c r="A34" s="40"/>
      <c r="B34" s="40"/>
      <c r="C34" s="40"/>
      <c r="D34" s="40"/>
      <c r="E34" s="40"/>
    </row>
    <row r="35" spans="1:5" x14ac:dyDescent="0.2">
      <c r="A35" s="40"/>
      <c r="B35" s="40"/>
      <c r="C35" s="40"/>
      <c r="D35" s="40"/>
      <c r="E35" s="40"/>
    </row>
    <row r="36" spans="1:5" x14ac:dyDescent="0.2">
      <c r="A36" s="40"/>
      <c r="B36" s="40"/>
      <c r="C36" s="40"/>
      <c r="D36" s="40"/>
      <c r="E36" s="40"/>
    </row>
    <row r="37" spans="1:5" x14ac:dyDescent="0.2">
      <c r="A37" s="40"/>
      <c r="B37" s="40"/>
      <c r="C37" s="40"/>
      <c r="D37" s="40"/>
      <c r="E37" s="40"/>
    </row>
    <row r="38" spans="1:5" x14ac:dyDescent="0.2">
      <c r="A38" s="40"/>
      <c r="B38" s="40"/>
      <c r="C38" s="40"/>
      <c r="D38" s="40"/>
      <c r="E38" s="40"/>
    </row>
    <row r="39" spans="1:5" x14ac:dyDescent="0.2">
      <c r="A39" s="40"/>
      <c r="B39" s="40"/>
      <c r="C39" s="40"/>
      <c r="D39" s="40"/>
      <c r="E39" s="40"/>
    </row>
    <row r="40" spans="1:5" x14ac:dyDescent="0.2">
      <c r="A40" s="40"/>
      <c r="B40" s="40"/>
      <c r="C40" s="40"/>
      <c r="D40" s="40"/>
      <c r="E40" s="40"/>
    </row>
    <row r="41" spans="1:5" x14ac:dyDescent="0.2">
      <c r="A41" s="40"/>
      <c r="B41" s="40"/>
      <c r="C41" s="40"/>
      <c r="D41" s="40"/>
      <c r="E41" s="40"/>
    </row>
    <row r="42" spans="1:5" x14ac:dyDescent="0.2">
      <c r="A42" s="40"/>
      <c r="B42" s="40"/>
      <c r="C42" s="40"/>
      <c r="D42" s="40"/>
      <c r="E42" s="40"/>
    </row>
    <row r="43" spans="1:5" x14ac:dyDescent="0.2">
      <c r="A43" s="40"/>
      <c r="B43" s="40"/>
      <c r="C43" s="40"/>
      <c r="D43" s="40"/>
      <c r="E43" s="40"/>
    </row>
    <row r="44" spans="1:5" x14ac:dyDescent="0.2">
      <c r="A44" s="40"/>
      <c r="B44" s="40"/>
      <c r="C44" s="40"/>
      <c r="D44" s="40"/>
      <c r="E44" s="40"/>
    </row>
    <row r="45" spans="1:5" x14ac:dyDescent="0.2">
      <c r="A45" s="40"/>
      <c r="B45" s="40"/>
      <c r="C45" s="40"/>
      <c r="D45" s="40"/>
      <c r="E45" s="40"/>
    </row>
    <row r="46" spans="1:5" x14ac:dyDescent="0.2">
      <c r="A46" s="40"/>
      <c r="B46" s="40"/>
      <c r="C46" s="40"/>
      <c r="D46" s="40"/>
      <c r="E46" s="40"/>
    </row>
    <row r="47" spans="1:5" x14ac:dyDescent="0.2">
      <c r="A47" s="40"/>
      <c r="B47" s="40"/>
      <c r="C47" s="40"/>
      <c r="D47" s="40"/>
      <c r="E47" s="40"/>
    </row>
    <row r="48" spans="1:5" x14ac:dyDescent="0.2">
      <c r="A48" s="40"/>
      <c r="B48" s="40"/>
      <c r="C48" s="40"/>
      <c r="D48" s="40"/>
      <c r="E48" s="40"/>
    </row>
  </sheetData>
  <customSheetViews>
    <customSheetView guid="{DF41C481-38FD-4F9F-AEF1-AE5420249928}" showRuler="0" topLeftCell="A21">
      <selection activeCell="A33" sqref="A33:IV129"/>
      <pageMargins left="0.75" right="0.75" top="1" bottom="1" header="0.5" footer="0.5"/>
      <pageSetup orientation="portrait" verticalDpi="0"/>
      <headerFooter alignWithMargins="0"/>
    </customSheetView>
    <customSheetView guid="{E00EC0C4-E70A-4D33-A9FE-7CF308F53A5C}" showRuler="0">
      <selection activeCell="E15" sqref="E15"/>
      <pageMargins left="0.75" right="0.75" top="1" bottom="1" header="0.5" footer="0.5"/>
      <pageSetup orientation="portrait" verticalDpi="0"/>
      <headerFooter alignWithMargins="0"/>
    </customSheetView>
    <customSheetView guid="{5519EDA0-AC19-11DC-BDFC-0017F2D6B148}" showPageBreaks="1">
      <selection activeCell="E23" sqref="E23"/>
      <pageMargins left="0.75" right="0.75" top="1" bottom="1" header="0.5" footer="0.5"/>
      <pageSetup orientation="landscape" verticalDpi="0"/>
      <headerFooter alignWithMargins="0"/>
    </customSheetView>
  </customSheetViews>
  <mergeCells count="1">
    <mergeCell ref="B2:E2"/>
  </mergeCells>
  <phoneticPr fontId="7" type="noConversion"/>
  <printOptions horizontalCentered="1"/>
  <pageMargins left="0.75" right="0.75" top="1" bottom="1" header="0" footer="0.5"/>
  <pageSetup scale="94" orientation="portrait" r:id="rId1"/>
  <headerFooter alignWithMargins="0">
    <oddFooter>&amp;L&amp;A&amp;C                &amp;F&amp;R&amp;D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45"/>
  <sheetViews>
    <sheetView zoomScaleNormal="100" workbookViewId="0">
      <selection activeCell="J113" sqref="A1:K113"/>
    </sheetView>
  </sheetViews>
  <sheetFormatPr defaultColWidth="8.7109375" defaultRowHeight="12.75" x14ac:dyDescent="0.2"/>
  <cols>
    <col min="1" max="1" width="3.140625" style="40" customWidth="1"/>
    <col min="2" max="2" width="28.42578125" customWidth="1"/>
    <col min="3" max="3" width="2.42578125" customWidth="1"/>
    <col min="4" max="4" width="12" style="481" customWidth="1"/>
    <col min="5" max="5" width="2.42578125" customWidth="1"/>
    <col min="6" max="6" width="11" style="21" customWidth="1"/>
    <col min="7" max="7" width="2.42578125" customWidth="1"/>
    <col min="8" max="8" width="10.7109375" style="481" customWidth="1"/>
    <col min="9" max="9" width="2.42578125" customWidth="1"/>
    <col min="10" max="10" width="20.7109375" style="33" customWidth="1"/>
    <col min="11" max="11" width="3.28515625" hidden="1" customWidth="1"/>
    <col min="12" max="33" width="8.7109375" style="40" customWidth="1"/>
  </cols>
  <sheetData>
    <row r="1" spans="1:44" s="40" customFormat="1" ht="15.75" x14ac:dyDescent="0.25">
      <c r="A1" s="373"/>
      <c r="B1" s="56"/>
      <c r="C1" s="56"/>
      <c r="D1" s="76" t="s">
        <v>503</v>
      </c>
      <c r="E1" s="56"/>
      <c r="F1" s="57">
        <v>2300</v>
      </c>
      <c r="G1" s="56"/>
      <c r="H1" s="76"/>
      <c r="I1" s="56"/>
      <c r="J1" s="56"/>
    </row>
    <row r="2" spans="1:44" s="40" customFormat="1" ht="18" customHeight="1" x14ac:dyDescent="0.2">
      <c r="A2" s="374"/>
      <c r="B2" s="327" t="s">
        <v>49</v>
      </c>
      <c r="C2" s="56"/>
      <c r="D2" s="76"/>
      <c r="E2" s="56"/>
      <c r="F2" s="57"/>
      <c r="G2" s="56"/>
      <c r="H2" s="76"/>
      <c r="I2" s="56"/>
      <c r="J2" s="56"/>
    </row>
    <row r="3" spans="1:44" s="40" customFormat="1" x14ac:dyDescent="0.2">
      <c r="A3" s="374"/>
      <c r="B3" s="560" t="s">
        <v>383</v>
      </c>
      <c r="C3" s="560"/>
      <c r="D3" s="560"/>
      <c r="E3" s="560"/>
      <c r="F3" s="560"/>
      <c r="G3" s="560"/>
      <c r="H3" s="560"/>
      <c r="I3" s="560"/>
      <c r="J3" s="560"/>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s="40" customFormat="1" ht="5.25" customHeight="1" x14ac:dyDescent="0.2">
      <c r="A7" s="321"/>
      <c r="D7" s="58"/>
      <c r="F7" s="41"/>
      <c r="H7" s="58"/>
    </row>
    <row r="8" spans="1:44" s="92" customFormat="1" ht="31.5" customHeight="1" x14ac:dyDescent="0.25">
      <c r="A8" s="321"/>
      <c r="B8" s="566" t="s">
        <v>599</v>
      </c>
      <c r="C8" s="567"/>
      <c r="D8" s="567"/>
      <c r="E8" s="567"/>
      <c r="F8" s="567"/>
      <c r="G8" s="567"/>
      <c r="H8" s="567"/>
      <c r="I8" s="567"/>
      <c r="J8" s="567"/>
      <c r="K8" s="567"/>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321"/>
      <c r="B9" s="171"/>
      <c r="C9" s="171"/>
      <c r="D9" s="172"/>
      <c r="E9" s="171"/>
      <c r="F9" s="173"/>
      <c r="G9" s="171"/>
      <c r="H9" s="172"/>
      <c r="I9" s="171"/>
      <c r="J9" s="171"/>
      <c r="K9" s="171"/>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407"/>
      <c r="C10" s="407"/>
      <c r="D10" s="408" t="s">
        <v>249</v>
      </c>
      <c r="E10" s="408"/>
      <c r="F10" s="409"/>
      <c r="G10" s="408"/>
      <c r="H10" s="408" t="s">
        <v>250</v>
      </c>
      <c r="I10" s="408"/>
      <c r="J10" s="408"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410" t="s">
        <v>252</v>
      </c>
      <c r="C11" s="407"/>
      <c r="D11" s="408" t="s">
        <v>156</v>
      </c>
      <c r="E11" s="408"/>
      <c r="F11" s="409" t="s">
        <v>157</v>
      </c>
      <c r="G11" s="408"/>
      <c r="H11" s="408" t="s">
        <v>5</v>
      </c>
      <c r="I11" s="408"/>
      <c r="J11" s="408"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411"/>
      <c r="C12" s="412"/>
      <c r="D12" s="411"/>
      <c r="E12" s="412"/>
      <c r="F12" s="413"/>
      <c r="G12" s="412"/>
      <c r="H12" s="411"/>
      <c r="I12" s="412"/>
      <c r="J12" s="412"/>
      <c r="K12" s="1"/>
    </row>
    <row r="13" spans="1:44" x14ac:dyDescent="0.2">
      <c r="B13" s="6" t="s">
        <v>199</v>
      </c>
      <c r="C13" s="7"/>
      <c r="D13" s="44"/>
      <c r="E13" s="7"/>
      <c r="F13" s="8"/>
      <c r="G13" s="7"/>
      <c r="H13" s="44"/>
      <c r="I13" s="7"/>
      <c r="J13" s="9"/>
    </row>
    <row r="14" spans="1:44" x14ac:dyDescent="0.2">
      <c r="B14" s="10" t="s">
        <v>255</v>
      </c>
      <c r="C14" s="11"/>
      <c r="D14" s="363">
        <f>yww</f>
        <v>80</v>
      </c>
      <c r="E14" s="11"/>
      <c r="F14" s="12" t="s">
        <v>256</v>
      </c>
      <c r="G14" s="11"/>
      <c r="H14" s="364">
        <f>pww</f>
        <v>3.61</v>
      </c>
      <c r="I14" s="11"/>
      <c r="J14" s="13">
        <f>D14*H14</f>
        <v>288.8</v>
      </c>
      <c r="K14" s="14"/>
      <c r="M14" s="565"/>
      <c r="N14" s="565"/>
      <c r="O14" s="565"/>
      <c r="P14" s="565"/>
      <c r="Q14" s="565"/>
    </row>
    <row r="15" spans="1:44" ht="3.75" customHeight="1" x14ac:dyDescent="0.2">
      <c r="B15" s="11"/>
      <c r="C15" s="11"/>
      <c r="D15" s="72"/>
      <c r="E15" s="11"/>
      <c r="F15" s="15"/>
      <c r="G15" s="11"/>
      <c r="H15" s="77"/>
      <c r="I15" s="11"/>
      <c r="J15" s="13"/>
      <c r="K15" s="14"/>
      <c r="M15" s="564"/>
      <c r="N15" s="564"/>
      <c r="O15" s="564"/>
      <c r="P15" s="564"/>
      <c r="Q15" s="564"/>
      <c r="R15" s="564"/>
    </row>
    <row r="16" spans="1:44" x14ac:dyDescent="0.2">
      <c r="B16" s="6" t="s">
        <v>167</v>
      </c>
      <c r="C16" s="7"/>
      <c r="D16" s="44"/>
      <c r="E16" s="7"/>
      <c r="F16" s="8"/>
      <c r="G16" s="7"/>
      <c r="H16" s="61"/>
      <c r="I16" s="7"/>
      <c r="J16" s="16"/>
    </row>
    <row r="17" spans="1:33" ht="5.0999999999999996" customHeight="1" x14ac:dyDescent="0.2">
      <c r="B17" s="7"/>
      <c r="C17" s="7"/>
      <c r="D17" s="44"/>
      <c r="E17" s="7"/>
      <c r="F17" s="8"/>
      <c r="G17" s="7"/>
      <c r="H17" s="61"/>
      <c r="I17" s="7"/>
      <c r="J17" s="16"/>
    </row>
    <row r="18" spans="1:33" ht="13.5" customHeight="1" x14ac:dyDescent="0.25">
      <c r="B18" s="52" t="s">
        <v>200</v>
      </c>
      <c r="C18" s="7"/>
      <c r="D18" s="66"/>
      <c r="E18" s="7"/>
      <c r="F18" s="8"/>
      <c r="G18" s="7"/>
      <c r="H18" s="61"/>
      <c r="I18" s="7"/>
      <c r="J18" s="325">
        <f>SUM(J19:J19)</f>
        <v>24.7</v>
      </c>
    </row>
    <row r="19" spans="1:33" x14ac:dyDescent="0.2">
      <c r="B19" s="18" t="s">
        <v>257</v>
      </c>
      <c r="C19" s="7"/>
      <c r="D19" s="361">
        <v>95</v>
      </c>
      <c r="E19" s="7"/>
      <c r="F19" s="19" t="s">
        <v>189</v>
      </c>
      <c r="G19" s="7"/>
      <c r="H19" s="356">
        <f>SWWWSd</f>
        <v>0.26</v>
      </c>
      <c r="I19" s="7"/>
      <c r="J19" s="16">
        <f>D19*H19</f>
        <v>24.7</v>
      </c>
    </row>
    <row r="20" spans="1:33" ht="5.0999999999999996" customHeight="1" x14ac:dyDescent="0.2">
      <c r="B20" s="7"/>
      <c r="C20" s="7"/>
      <c r="D20" s="44"/>
      <c r="E20" s="7"/>
      <c r="F20" s="8"/>
      <c r="G20" s="7"/>
      <c r="H20" s="70"/>
      <c r="I20" s="7"/>
      <c r="J20" s="16"/>
    </row>
    <row r="21" spans="1:33" x14ac:dyDescent="0.2">
      <c r="B21" s="52" t="s">
        <v>345</v>
      </c>
      <c r="C21" s="7"/>
      <c r="D21" s="44"/>
      <c r="E21" s="7"/>
      <c r="F21" s="8"/>
      <c r="G21" s="7"/>
      <c r="H21" s="70"/>
      <c r="I21" s="7"/>
      <c r="J21" s="325">
        <f>SUM(J24:J26)</f>
        <v>102.69999999999999</v>
      </c>
      <c r="M21" s="42"/>
    </row>
    <row r="22" spans="1:33" s="50" customFormat="1" x14ac:dyDescent="0.2">
      <c r="A22" s="68"/>
      <c r="B22" s="315" t="s">
        <v>343</v>
      </c>
      <c r="C22" s="69"/>
      <c r="D22" s="75"/>
      <c r="E22" s="69"/>
      <c r="F22" s="70"/>
      <c r="G22" s="69"/>
      <c r="H22" s="316"/>
      <c r="I22" s="69"/>
      <c r="J22" s="31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563</v>
      </c>
      <c r="C24" s="7"/>
      <c r="D24" s="361">
        <v>120</v>
      </c>
      <c r="E24" s="7"/>
      <c r="F24" s="19" t="s">
        <v>189</v>
      </c>
      <c r="G24" s="7"/>
      <c r="H24" s="356">
        <f>Nitrogen</f>
        <v>0.59</v>
      </c>
      <c r="I24" s="7"/>
      <c r="J24" s="20">
        <f>D24*H24</f>
        <v>70.8</v>
      </c>
    </row>
    <row r="25" spans="1:33" x14ac:dyDescent="0.2">
      <c r="B25" s="55" t="s">
        <v>399</v>
      </c>
      <c r="C25" s="7"/>
      <c r="D25" s="361">
        <v>30</v>
      </c>
      <c r="E25" s="7"/>
      <c r="F25" s="19" t="s">
        <v>189</v>
      </c>
      <c r="G25" s="7"/>
      <c r="H25" s="356">
        <f>Phosphorous</f>
        <v>0.71</v>
      </c>
      <c r="I25" s="7"/>
      <c r="J25" s="20">
        <f>D25*H25</f>
        <v>21.299999999999997</v>
      </c>
    </row>
    <row r="26" spans="1:33" x14ac:dyDescent="0.2">
      <c r="B26" s="55" t="s">
        <v>418</v>
      </c>
      <c r="C26" s="7"/>
      <c r="D26" s="361">
        <v>20</v>
      </c>
      <c r="E26" s="7"/>
      <c r="F26" s="19" t="s">
        <v>189</v>
      </c>
      <c r="G26" s="7"/>
      <c r="H26" s="356">
        <f>Sulfur</f>
        <v>0.53</v>
      </c>
      <c r="I26" s="7"/>
      <c r="J26" s="16">
        <f>D26*H26</f>
        <v>10.600000000000001</v>
      </c>
    </row>
    <row r="27" spans="1:33" x14ac:dyDescent="0.2">
      <c r="B27" s="55" t="s">
        <v>564</v>
      </c>
      <c r="C27" s="7"/>
      <c r="D27" s="361">
        <v>30</v>
      </c>
      <c r="E27" s="7"/>
      <c r="F27" s="19" t="s">
        <v>189</v>
      </c>
      <c r="G27" s="7"/>
      <c r="H27" s="356">
        <f>liquidN</f>
        <v>0.72</v>
      </c>
      <c r="I27" s="7"/>
      <c r="J27" s="16">
        <f>D27*H27</f>
        <v>21.599999999999998</v>
      </c>
    </row>
    <row r="28" spans="1:33" ht="5.0999999999999996" customHeight="1" x14ac:dyDescent="0.2">
      <c r="B28" s="7"/>
      <c r="C28" s="7"/>
      <c r="D28" s="44"/>
      <c r="E28" s="7"/>
      <c r="F28" s="8"/>
      <c r="G28" s="7"/>
      <c r="H28" s="61"/>
      <c r="I28" s="7"/>
      <c r="J28" s="20"/>
    </row>
    <row r="29" spans="1:33" ht="15" customHeight="1" x14ac:dyDescent="0.2">
      <c r="B29" s="52" t="s">
        <v>181</v>
      </c>
      <c r="C29" s="7"/>
      <c r="D29" s="44"/>
      <c r="E29" s="7"/>
      <c r="F29" s="8"/>
      <c r="G29" s="7"/>
      <c r="H29" s="61"/>
      <c r="I29" s="7"/>
      <c r="J29" s="324">
        <f>SUM(J33:J36)</f>
        <v>36.556499999999993</v>
      </c>
    </row>
    <row r="30" spans="1:33" s="50" customFormat="1" x14ac:dyDescent="0.2">
      <c r="A30" s="68"/>
      <c r="B30" s="315" t="s">
        <v>346</v>
      </c>
      <c r="C30" s="69"/>
      <c r="D30" s="75"/>
      <c r="E30" s="69"/>
      <c r="F30" s="70"/>
      <c r="G30" s="69"/>
      <c r="H30" s="316"/>
      <c r="I30" s="69"/>
      <c r="J30" s="319"/>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347</v>
      </c>
      <c r="C31" s="69"/>
      <c r="D31" s="75"/>
      <c r="E31" s="69"/>
      <c r="F31" s="70"/>
      <c r="G31" s="69"/>
      <c r="H31" s="316"/>
      <c r="I31" s="69"/>
      <c r="J31" s="319"/>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5" t="s">
        <v>348</v>
      </c>
      <c r="C32" s="69"/>
      <c r="D32" s="75"/>
      <c r="E32" s="69"/>
      <c r="F32" s="70"/>
      <c r="G32" s="69"/>
      <c r="H32" s="316"/>
      <c r="I32" s="69"/>
      <c r="J32" s="319"/>
      <c r="L32" s="68"/>
      <c r="M32" s="68"/>
      <c r="N32" s="68"/>
      <c r="O32" s="68"/>
      <c r="P32" s="68"/>
      <c r="Q32" s="68"/>
      <c r="R32" s="68"/>
      <c r="S32" s="68"/>
      <c r="T32" s="68"/>
      <c r="U32" s="68"/>
      <c r="V32" s="68"/>
      <c r="W32" s="68"/>
      <c r="X32" s="68"/>
      <c r="Y32" s="68"/>
      <c r="Z32" s="68"/>
      <c r="AA32" s="68"/>
      <c r="AB32" s="68"/>
      <c r="AC32" s="68"/>
      <c r="AD32" s="68"/>
      <c r="AE32" s="68"/>
      <c r="AF32" s="68"/>
      <c r="AG32" s="68"/>
    </row>
    <row r="33" spans="2:12" x14ac:dyDescent="0.2">
      <c r="B33" s="55" t="s">
        <v>262</v>
      </c>
      <c r="C33" s="7"/>
      <c r="D33" s="357">
        <v>4.75</v>
      </c>
      <c r="E33" s="7"/>
      <c r="F33" s="19" t="s">
        <v>191</v>
      </c>
      <c r="G33" s="7"/>
      <c r="H33" s="356">
        <f>Osprey</f>
        <v>4.3099999999999996</v>
      </c>
      <c r="I33" s="7"/>
      <c r="J33" s="20">
        <f>D33*H33</f>
        <v>20.472499999999997</v>
      </c>
    </row>
    <row r="34" spans="2:12" x14ac:dyDescent="0.2">
      <c r="B34" s="55" t="s">
        <v>475</v>
      </c>
      <c r="C34" s="7"/>
      <c r="D34" s="357">
        <v>22</v>
      </c>
      <c r="E34" s="7"/>
      <c r="F34" s="19" t="s">
        <v>191</v>
      </c>
      <c r="G34" s="7"/>
      <c r="H34" s="356">
        <f>Starane</f>
        <v>0.67</v>
      </c>
      <c r="I34" s="7"/>
      <c r="J34" s="20">
        <f>D34*H34</f>
        <v>14.74</v>
      </c>
    </row>
    <row r="35" spans="2:12" x14ac:dyDescent="0.2">
      <c r="B35" s="55" t="s">
        <v>277</v>
      </c>
      <c r="C35" s="7"/>
      <c r="D35" s="357">
        <v>3.2</v>
      </c>
      <c r="E35" s="7"/>
      <c r="F35" s="19" t="s">
        <v>191</v>
      </c>
      <c r="G35" s="7"/>
      <c r="H35" s="356">
        <f>surf</f>
        <v>0.23</v>
      </c>
      <c r="I35" s="7"/>
      <c r="J35" s="20">
        <f>D35*H35</f>
        <v>0.7360000000000001</v>
      </c>
    </row>
    <row r="36" spans="2:12" x14ac:dyDescent="0.2">
      <c r="B36" s="55" t="s">
        <v>135</v>
      </c>
      <c r="C36" s="7"/>
      <c r="D36" s="357">
        <v>1.6</v>
      </c>
      <c r="E36" s="7"/>
      <c r="F36" s="19" t="s">
        <v>191</v>
      </c>
      <c r="G36" s="7"/>
      <c r="H36" s="356">
        <f>BroxM</f>
        <v>0.38</v>
      </c>
      <c r="I36" s="7"/>
      <c r="J36" s="20">
        <f>D36*H36</f>
        <v>0.6080000000000001</v>
      </c>
    </row>
    <row r="37" spans="2:12" ht="5.25" customHeight="1" x14ac:dyDescent="0.2">
      <c r="B37" s="7"/>
      <c r="C37" s="7"/>
      <c r="D37" s="59"/>
      <c r="E37" s="7"/>
      <c r="F37" s="8"/>
      <c r="G37" s="7"/>
      <c r="H37" s="61"/>
      <c r="I37" s="7"/>
      <c r="J37" s="20"/>
    </row>
    <row r="38" spans="2:12" x14ac:dyDescent="0.2">
      <c r="B38" s="443" t="s">
        <v>149</v>
      </c>
      <c r="C38" s="439"/>
      <c r="D38" s="440"/>
      <c r="E38" s="439"/>
      <c r="F38" s="441"/>
      <c r="G38" s="439"/>
      <c r="H38" s="442"/>
      <c r="I38" s="7"/>
      <c r="J38" s="324">
        <f>SUM(J39:J40)</f>
        <v>28.045000000000002</v>
      </c>
    </row>
    <row r="39" spans="2:12" x14ac:dyDescent="0.2">
      <c r="B39" s="55" t="s">
        <v>159</v>
      </c>
      <c r="C39" s="7"/>
      <c r="D39" s="357">
        <v>14</v>
      </c>
      <c r="E39" s="7"/>
      <c r="F39" s="312" t="s">
        <v>191</v>
      </c>
      <c r="G39" s="7"/>
      <c r="H39" s="356">
        <f>Quilt</f>
        <v>1.78</v>
      </c>
      <c r="I39" s="7"/>
      <c r="J39" s="20">
        <f>D39*H39</f>
        <v>24.92</v>
      </c>
    </row>
    <row r="40" spans="2:12" x14ac:dyDescent="0.2">
      <c r="B40" s="55" t="s">
        <v>302</v>
      </c>
      <c r="C40" s="7"/>
      <c r="D40" s="357">
        <v>0.5</v>
      </c>
      <c r="E40" s="7"/>
      <c r="F40" s="19" t="s">
        <v>278</v>
      </c>
      <c r="G40" s="7"/>
      <c r="H40" s="356">
        <f>Syltac</f>
        <v>6.25</v>
      </c>
      <c r="I40" s="7"/>
      <c r="J40" s="20">
        <f>D40*H40</f>
        <v>3.125</v>
      </c>
    </row>
    <row r="41" spans="2:12" ht="5.25" customHeight="1" x14ac:dyDescent="0.2">
      <c r="B41" s="7"/>
      <c r="C41" s="7"/>
      <c r="D41" s="59"/>
      <c r="E41" s="7"/>
      <c r="F41" s="8"/>
      <c r="G41" s="7"/>
      <c r="H41" s="61"/>
      <c r="I41" s="7"/>
      <c r="J41" s="20"/>
    </row>
    <row r="42" spans="2:12" x14ac:dyDescent="0.2">
      <c r="B42" s="52" t="s">
        <v>50</v>
      </c>
      <c r="C42" s="7"/>
      <c r="D42" s="73"/>
      <c r="E42" s="7"/>
      <c r="F42" s="8"/>
      <c r="G42" s="7"/>
      <c r="H42" s="61"/>
      <c r="I42" s="7"/>
      <c r="J42" s="324">
        <f>SUM(J43:J46)</f>
        <v>55.650843897307894</v>
      </c>
    </row>
    <row r="43" spans="2:12" x14ac:dyDescent="0.2">
      <c r="B43" s="33" t="s">
        <v>284</v>
      </c>
      <c r="C43" s="7"/>
      <c r="D43" s="353">
        <f>'Machinery Costs'!$M$81</f>
        <v>10.785915492957747</v>
      </c>
      <c r="E43" s="7"/>
      <c r="F43" s="19" t="s">
        <v>286</v>
      </c>
      <c r="G43" s="7"/>
      <c r="H43" s="356">
        <f>Diesel</f>
        <v>2</v>
      </c>
      <c r="I43" s="7"/>
      <c r="J43" s="20">
        <f>D43*H43</f>
        <v>21.571830985915494</v>
      </c>
    </row>
    <row r="44" spans="2:12" x14ac:dyDescent="0.2">
      <c r="B44" s="33" t="s">
        <v>285</v>
      </c>
      <c r="C44" s="7"/>
      <c r="D44" s="43">
        <v>1</v>
      </c>
      <c r="E44" s="7"/>
      <c r="F44" s="19" t="s">
        <v>190</v>
      </c>
      <c r="G44" s="7"/>
      <c r="H44" s="354">
        <f>'Machinery Costs'!$I$81</f>
        <v>3.3460000000000001</v>
      </c>
      <c r="I44" s="7"/>
      <c r="J44" s="20">
        <f>D44*H44</f>
        <v>3.3460000000000001</v>
      </c>
    </row>
    <row r="45" spans="2:12" x14ac:dyDescent="0.2">
      <c r="B45" s="33" t="s">
        <v>91</v>
      </c>
      <c r="C45" s="7"/>
      <c r="D45" s="43">
        <v>1</v>
      </c>
      <c r="E45" s="7"/>
      <c r="F45" s="19" t="s">
        <v>190</v>
      </c>
      <c r="G45" s="7"/>
      <c r="H45" s="354">
        <f>'Machinery Costs'!$G$81</f>
        <v>9.3129999999999988</v>
      </c>
      <c r="I45" s="7"/>
      <c r="J45" s="20">
        <f>D45*H45</f>
        <v>9.3129999999999988</v>
      </c>
    </row>
    <row r="46" spans="2:12" x14ac:dyDescent="0.2">
      <c r="B46" s="33" t="s">
        <v>173</v>
      </c>
      <c r="C46" s="7"/>
      <c r="D46" s="355">
        <f>'Machinery Costs'!$L$81</f>
        <v>1.0710006455696204</v>
      </c>
      <c r="E46" s="7"/>
      <c r="F46" s="312" t="s">
        <v>184</v>
      </c>
      <c r="G46" s="7"/>
      <c r="H46" s="356">
        <f>Labor</f>
        <v>20</v>
      </c>
      <c r="I46" s="7"/>
      <c r="J46" s="20">
        <f>D46*H46</f>
        <v>21.420012911392408</v>
      </c>
      <c r="L46" s="42">
        <f>SUM(J44:J45)</f>
        <v>12.658999999999999</v>
      </c>
    </row>
    <row r="47" spans="2:12" ht="5.25" customHeight="1" x14ac:dyDescent="0.2">
      <c r="B47" s="7"/>
      <c r="C47" s="7"/>
      <c r="D47" s="44"/>
      <c r="E47" s="7"/>
      <c r="F47" s="8"/>
      <c r="G47" s="7"/>
      <c r="H47" s="61"/>
      <c r="I47" s="7"/>
      <c r="J47" s="20"/>
    </row>
    <row r="48" spans="2:12" x14ac:dyDescent="0.2">
      <c r="B48" s="52" t="s">
        <v>152</v>
      </c>
      <c r="C48" s="7"/>
      <c r="D48" s="73"/>
      <c r="E48" s="7"/>
      <c r="F48" s="8"/>
      <c r="G48" s="7"/>
      <c r="H48" s="61"/>
      <c r="I48" s="7"/>
      <c r="J48" s="324">
        <f>SUM(J49:J51)</f>
        <v>11.45</v>
      </c>
    </row>
    <row r="49" spans="1:33" x14ac:dyDescent="0.2">
      <c r="B49" s="55" t="s">
        <v>207</v>
      </c>
      <c r="C49" s="7"/>
      <c r="D49" s="361">
        <v>1</v>
      </c>
      <c r="E49" s="7"/>
      <c r="F49" s="19" t="s">
        <v>190</v>
      </c>
      <c r="G49" s="7"/>
      <c r="H49" s="356">
        <f>Aerial</f>
        <v>8.9499999999999993</v>
      </c>
      <c r="I49" s="7"/>
      <c r="J49" s="20">
        <f>D49*H49</f>
        <v>8.9499999999999993</v>
      </c>
    </row>
    <row r="50" spans="1:33" x14ac:dyDescent="0.2">
      <c r="B50" s="18" t="s">
        <v>261</v>
      </c>
      <c r="C50" s="7"/>
      <c r="D50" s="361">
        <v>0</v>
      </c>
      <c r="E50" s="7"/>
      <c r="F50" s="19" t="s">
        <v>190</v>
      </c>
      <c r="G50" s="7"/>
      <c r="H50" s="356">
        <f>Sprayer</f>
        <v>2</v>
      </c>
      <c r="I50" s="7"/>
      <c r="J50" s="20">
        <f>D50*H50</f>
        <v>0</v>
      </c>
    </row>
    <row r="51" spans="1:33" x14ac:dyDescent="0.2">
      <c r="B51" s="18" t="s">
        <v>195</v>
      </c>
      <c r="C51" s="7"/>
      <c r="D51" s="361">
        <v>1</v>
      </c>
      <c r="E51" s="7"/>
      <c r="F51" s="19" t="s">
        <v>190</v>
      </c>
      <c r="G51" s="7"/>
      <c r="H51" s="356">
        <f>Shooter</f>
        <v>2.5</v>
      </c>
      <c r="I51" s="7"/>
      <c r="J51" s="20">
        <f>D51*H51</f>
        <v>2.5</v>
      </c>
    </row>
    <row r="52" spans="1:33" ht="5.25" customHeight="1" x14ac:dyDescent="0.2">
      <c r="B52" s="7"/>
      <c r="C52" s="7"/>
      <c r="D52" s="44"/>
      <c r="E52" s="7"/>
      <c r="F52" s="8"/>
      <c r="G52" s="7"/>
      <c r="H52" s="61"/>
      <c r="I52" s="7"/>
      <c r="J52" s="20"/>
    </row>
    <row r="53" spans="1:33" x14ac:dyDescent="0.2">
      <c r="B53" s="52" t="s">
        <v>153</v>
      </c>
      <c r="C53" s="7"/>
      <c r="D53" s="44"/>
      <c r="E53" s="7"/>
      <c r="F53" s="8"/>
      <c r="G53" s="7"/>
      <c r="H53" s="61"/>
      <c r="I53" s="7"/>
      <c r="J53" s="324">
        <f>SUM(J54:J56)</f>
        <v>20</v>
      </c>
    </row>
    <row r="54" spans="1:33" x14ac:dyDescent="0.2">
      <c r="B54" s="18" t="s">
        <v>192</v>
      </c>
      <c r="C54" s="7"/>
      <c r="D54" s="43">
        <v>1</v>
      </c>
      <c r="E54" s="7"/>
      <c r="F54" s="19" t="s">
        <v>190</v>
      </c>
      <c r="G54" s="7"/>
      <c r="H54" s="358">
        <f>CIWW</f>
        <v>20</v>
      </c>
      <c r="I54" s="7"/>
      <c r="J54" s="20">
        <f>D54*H54</f>
        <v>20</v>
      </c>
    </row>
    <row r="55" spans="1:33" x14ac:dyDescent="0.2">
      <c r="B55" s="33" t="s">
        <v>172</v>
      </c>
      <c r="C55" s="7"/>
      <c r="D55" s="43"/>
      <c r="E55" s="7"/>
      <c r="F55" s="19"/>
      <c r="G55" s="7"/>
      <c r="H55" s="45"/>
      <c r="I55" s="7"/>
      <c r="J55" s="20">
        <f>D55*H55</f>
        <v>0</v>
      </c>
    </row>
    <row r="56" spans="1:33" x14ac:dyDescent="0.2">
      <c r="B56" s="33" t="s">
        <v>240</v>
      </c>
      <c r="C56" s="7"/>
      <c r="D56" s="43"/>
      <c r="E56" s="7"/>
      <c r="F56" s="312"/>
      <c r="G56" s="7"/>
      <c r="H56" s="45"/>
      <c r="I56" s="7"/>
      <c r="J56" s="20"/>
    </row>
    <row r="57" spans="1:33" ht="3.75" customHeight="1" x14ac:dyDescent="0.2">
      <c r="B57" s="7"/>
      <c r="C57" s="7"/>
      <c r="D57" s="44"/>
      <c r="E57" s="7"/>
      <c r="F57" s="8"/>
      <c r="G57" s="7"/>
      <c r="H57" s="44"/>
      <c r="I57" s="7"/>
      <c r="J57" s="20"/>
    </row>
    <row r="58" spans="1:33" ht="14.25" x14ac:dyDescent="0.2">
      <c r="B58" s="69" t="s">
        <v>329</v>
      </c>
      <c r="C58" s="7"/>
      <c r="D58" s="44"/>
      <c r="E58" s="7"/>
      <c r="F58" s="8"/>
      <c r="G58" s="7"/>
      <c r="H58" s="44"/>
      <c r="I58" s="7"/>
      <c r="J58" s="20">
        <f>+(J18+J21+J29+J42+J48+J53)*operloan*0.75</f>
        <v>10.826847955571402</v>
      </c>
    </row>
    <row r="59" spans="1:33" ht="5.25" customHeight="1" x14ac:dyDescent="0.2">
      <c r="B59" s="7"/>
      <c r="C59" s="7"/>
      <c r="D59" s="44"/>
      <c r="E59" s="7"/>
      <c r="F59" s="8"/>
      <c r="G59" s="7"/>
      <c r="H59" s="44"/>
      <c r="I59" s="7"/>
      <c r="J59" s="20"/>
    </row>
    <row r="60" spans="1:33" x14ac:dyDescent="0.2">
      <c r="B60" s="52" t="s">
        <v>232</v>
      </c>
      <c r="C60" s="52"/>
      <c r="D60" s="65"/>
      <c r="E60" s="52"/>
      <c r="F60" s="53"/>
      <c r="G60" s="52"/>
      <c r="H60" s="65"/>
      <c r="I60" s="52"/>
      <c r="J60" s="54">
        <f>SUM(J18:J58)-(J18+J21+J29+J42+J48+J53+J38)</f>
        <v>311.52919185287948</v>
      </c>
    </row>
    <row r="61" spans="1:33" x14ac:dyDescent="0.2">
      <c r="B61" s="7" t="s">
        <v>233</v>
      </c>
      <c r="C61" s="7"/>
      <c r="D61" s="44"/>
      <c r="E61" s="7"/>
      <c r="F61" s="8"/>
      <c r="G61" s="7"/>
      <c r="H61" s="44"/>
      <c r="I61" s="7"/>
      <c r="J61" s="20">
        <f>J60/D14</f>
        <v>3.8941148981609937</v>
      </c>
    </row>
    <row r="62" spans="1:33" ht="5.25" customHeight="1" x14ac:dyDescent="0.2">
      <c r="B62" s="7"/>
      <c r="C62" s="7"/>
      <c r="D62" s="44"/>
      <c r="E62" s="7"/>
      <c r="F62" s="8"/>
      <c r="G62" s="7"/>
      <c r="H62" s="44"/>
      <c r="I62" s="7"/>
      <c r="J62" s="20"/>
    </row>
    <row r="63" spans="1:33" s="47" customFormat="1" x14ac:dyDescent="0.2">
      <c r="A63" s="46"/>
      <c r="B63" s="62" t="s">
        <v>234</v>
      </c>
      <c r="C63" s="62"/>
      <c r="D63" s="63"/>
      <c r="E63" s="62"/>
      <c r="F63" s="64"/>
      <c r="G63" s="62"/>
      <c r="H63" s="63"/>
      <c r="I63" s="62"/>
      <c r="J63" s="96">
        <f>J14-J60</f>
        <v>-22.729191852879467</v>
      </c>
      <c r="L63" s="46"/>
      <c r="M63" s="46"/>
      <c r="N63" s="46"/>
      <c r="O63" s="46"/>
      <c r="P63" s="46"/>
      <c r="Q63" s="46"/>
      <c r="R63" s="46"/>
      <c r="S63" s="46"/>
      <c r="T63" s="46"/>
      <c r="U63" s="46"/>
      <c r="V63" s="46"/>
      <c r="W63" s="46"/>
      <c r="X63" s="46"/>
      <c r="Y63" s="46"/>
      <c r="Z63" s="46"/>
      <c r="AA63" s="46"/>
      <c r="AB63" s="46"/>
      <c r="AC63" s="46"/>
      <c r="AD63" s="46"/>
      <c r="AE63" s="46"/>
      <c r="AF63" s="46"/>
      <c r="AG63" s="46"/>
    </row>
    <row r="64" spans="1:33" ht="24.75" customHeight="1" x14ac:dyDescent="0.2">
      <c r="B64" s="6" t="s">
        <v>325</v>
      </c>
      <c r="C64" s="7"/>
      <c r="D64" s="44"/>
      <c r="E64" s="7"/>
      <c r="F64" s="8"/>
      <c r="G64" s="7"/>
      <c r="H64" s="44"/>
      <c r="I64" s="7"/>
      <c r="J64" s="20"/>
    </row>
    <row r="65" spans="1:33" x14ac:dyDescent="0.2">
      <c r="B65" s="570" t="s">
        <v>502</v>
      </c>
      <c r="C65" s="570"/>
      <c r="D65" s="570"/>
      <c r="E65" s="7"/>
      <c r="F65" s="19" t="s">
        <v>190</v>
      </c>
      <c r="G65" s="7"/>
      <c r="H65" s="354">
        <f>'Machinery Costs'!$C$81</f>
        <v>18.114999999999998</v>
      </c>
      <c r="I65" s="7"/>
      <c r="J65" s="20">
        <f>H65</f>
        <v>18.114999999999998</v>
      </c>
    </row>
    <row r="66" spans="1:33" x14ac:dyDescent="0.2">
      <c r="B66" s="570" t="s">
        <v>486</v>
      </c>
      <c r="C66" s="570"/>
      <c r="D66" s="570"/>
      <c r="E66" s="7"/>
      <c r="F66" s="19" t="s">
        <v>190</v>
      </c>
      <c r="G66" s="7"/>
      <c r="H66" s="354">
        <f>'Machinery Costs'!$D$81</f>
        <v>13.356000000000002</v>
      </c>
      <c r="I66" s="7"/>
      <c r="J66" s="20">
        <f>H66</f>
        <v>13.356000000000002</v>
      </c>
    </row>
    <row r="67" spans="1:33" x14ac:dyDescent="0.2">
      <c r="B67" s="570" t="s">
        <v>487</v>
      </c>
      <c r="C67" s="570"/>
      <c r="D67" s="570"/>
      <c r="E67" s="7"/>
      <c r="F67" s="19" t="s">
        <v>190</v>
      </c>
      <c r="G67" s="7"/>
      <c r="H67" s="354">
        <f>'Machinery Costs'!$E$81</f>
        <v>5.137999999999999</v>
      </c>
      <c r="I67" s="7"/>
      <c r="J67" s="20">
        <f>H67</f>
        <v>5.137999999999999</v>
      </c>
    </row>
    <row r="68" spans="1:33" x14ac:dyDescent="0.2">
      <c r="B68" s="18" t="s">
        <v>266</v>
      </c>
      <c r="C68" s="7"/>
      <c r="D68" s="44"/>
      <c r="E68" s="7"/>
      <c r="F68" s="19" t="s">
        <v>190</v>
      </c>
      <c r="G68" s="7"/>
      <c r="H68" s="79">
        <f>ROUND((D14*H14)*D70-(J21+J29+H54)*D70, 0)</f>
        <v>43</v>
      </c>
      <c r="I68" s="7"/>
      <c r="J68" s="20">
        <f>+H68</f>
        <v>43</v>
      </c>
    </row>
    <row r="69" spans="1:33" ht="12.75" customHeight="1" x14ac:dyDescent="0.2">
      <c r="B69" s="7" t="s">
        <v>267</v>
      </c>
      <c r="C69" s="7"/>
      <c r="D69" s="44"/>
      <c r="E69" s="7"/>
      <c r="F69" s="8"/>
      <c r="G69" s="7"/>
      <c r="H69" s="93"/>
      <c r="I69" s="7"/>
      <c r="J69" s="20"/>
    </row>
    <row r="70" spans="1:33" ht="12.75" customHeight="1" x14ac:dyDescent="0.2">
      <c r="B70" s="7" t="s">
        <v>268</v>
      </c>
      <c r="C70" s="7"/>
      <c r="D70" s="362">
        <f>OwnerShare</f>
        <v>0.33</v>
      </c>
      <c r="E70" s="7"/>
      <c r="F70" s="8"/>
      <c r="G70" s="7"/>
      <c r="H70" s="61"/>
      <c r="I70" s="7"/>
      <c r="J70" s="20"/>
    </row>
    <row r="71" spans="1:33" ht="12.75" customHeight="1" x14ac:dyDescent="0.2">
      <c r="B71" s="7" t="s">
        <v>269</v>
      </c>
      <c r="C71" s="7"/>
      <c r="D71" s="362">
        <f>OperShare</f>
        <v>0.67</v>
      </c>
      <c r="E71" s="7"/>
      <c r="F71" s="8"/>
      <c r="G71" s="7"/>
      <c r="H71" s="61"/>
      <c r="I71" s="7"/>
      <c r="J71" s="20"/>
    </row>
    <row r="72" spans="1:33" x14ac:dyDescent="0.2">
      <c r="B72" s="51"/>
      <c r="C72" s="51"/>
      <c r="D72" s="74"/>
      <c r="E72" s="51"/>
      <c r="F72" s="74"/>
      <c r="G72" s="7"/>
      <c r="H72" s="44"/>
      <c r="I72" s="7"/>
      <c r="J72" s="20"/>
    </row>
    <row r="73" spans="1:33" ht="14.25" x14ac:dyDescent="0.2">
      <c r="B73" s="147" t="s">
        <v>61</v>
      </c>
      <c r="C73" s="7"/>
      <c r="D73" s="44"/>
      <c r="E73" s="7"/>
      <c r="F73" s="8"/>
      <c r="G73" s="7"/>
      <c r="H73" s="44"/>
      <c r="I73" s="7"/>
      <c r="J73" s="20">
        <f>ROUND(($J$18+$J$21+$J$29+J38+$J$42+$J$48+$J$53)*oh, 0)</f>
        <v>7</v>
      </c>
    </row>
    <row r="74" spans="1:33" ht="14.25" x14ac:dyDescent="0.2">
      <c r="A74" s="482"/>
      <c r="B74" s="147" t="s">
        <v>330</v>
      </c>
      <c r="C74" s="94"/>
      <c r="D74" s="59"/>
      <c r="E74" s="7"/>
      <c r="F74" s="8"/>
      <c r="G74" s="7"/>
      <c r="H74" s="44"/>
      <c r="I74" s="7"/>
      <c r="J74" s="20">
        <f>ROUND(($J$14)*MF, 0)</f>
        <v>14</v>
      </c>
      <c r="K74" s="482"/>
      <c r="L74" s="482"/>
      <c r="M74" s="482"/>
      <c r="N74" s="482"/>
      <c r="O74" s="482"/>
      <c r="P74" s="482"/>
      <c r="Q74" s="482"/>
      <c r="R74" s="482"/>
      <c r="S74" s="482"/>
      <c r="T74" s="482"/>
      <c r="U74" s="482"/>
      <c r="V74" s="482"/>
      <c r="W74" s="482"/>
      <c r="X74" s="482"/>
      <c r="Y74" s="482"/>
      <c r="Z74" s="482"/>
      <c r="AA74" s="482"/>
      <c r="AB74" s="482"/>
      <c r="AC74" s="482"/>
      <c r="AD74" s="482"/>
      <c r="AE74" s="482"/>
      <c r="AF74" s="482"/>
      <c r="AG74"/>
    </row>
    <row r="75" spans="1:33" ht="5.25" customHeight="1" x14ac:dyDescent="0.2">
      <c r="B75" s="7"/>
      <c r="C75" s="7"/>
      <c r="D75" s="44"/>
      <c r="E75" s="7"/>
      <c r="F75" s="8"/>
      <c r="G75" s="7"/>
      <c r="H75" s="44"/>
      <c r="I75" s="7"/>
      <c r="J75" s="20"/>
    </row>
    <row r="76" spans="1:33" x14ac:dyDescent="0.2">
      <c r="B76" s="52" t="s">
        <v>230</v>
      </c>
      <c r="C76" s="52"/>
      <c r="D76" s="65"/>
      <c r="E76" s="52"/>
      <c r="F76" s="53"/>
      <c r="G76" s="52"/>
      <c r="H76" s="65"/>
      <c r="I76" s="52"/>
      <c r="J76" s="54">
        <f>SUM(J64:J74)</f>
        <v>100.60900000000001</v>
      </c>
    </row>
    <row r="77" spans="1:33" x14ac:dyDescent="0.2">
      <c r="B77" s="7" t="s">
        <v>231</v>
      </c>
      <c r="C77" s="7"/>
      <c r="D77" s="44"/>
      <c r="E77" s="7"/>
      <c r="F77" s="8"/>
      <c r="G77" s="7"/>
      <c r="H77" s="44"/>
      <c r="I77" s="7"/>
      <c r="J77" s="20">
        <f>J76/D14</f>
        <v>1.2576125</v>
      </c>
    </row>
    <row r="78" spans="1:33" x14ac:dyDescent="0.2">
      <c r="B78" s="7"/>
      <c r="C78" s="7"/>
      <c r="D78" s="44"/>
      <c r="E78" s="7"/>
      <c r="F78" s="8"/>
      <c r="G78" s="7"/>
      <c r="H78" s="44"/>
      <c r="I78" s="7"/>
      <c r="J78" s="20"/>
    </row>
    <row r="79" spans="1:33" x14ac:dyDescent="0.2">
      <c r="B79" s="52" t="s">
        <v>94</v>
      </c>
      <c r="C79" s="52"/>
      <c r="D79" s="65"/>
      <c r="E79" s="52"/>
      <c r="F79" s="53"/>
      <c r="G79" s="52"/>
      <c r="H79" s="65"/>
      <c r="I79" s="52"/>
      <c r="J79" s="54">
        <f>J60+J76</f>
        <v>412.13819185287946</v>
      </c>
    </row>
    <row r="80" spans="1:33" s="50" customFormat="1" x14ac:dyDescent="0.2">
      <c r="A80" s="68"/>
      <c r="B80" s="69" t="s">
        <v>95</v>
      </c>
      <c r="C80" s="69"/>
      <c r="D80" s="75"/>
      <c r="E80" s="69"/>
      <c r="F80" s="70"/>
      <c r="G80" s="69"/>
      <c r="H80" s="75"/>
      <c r="I80" s="69"/>
      <c r="J80" s="20">
        <f>J79/D14</f>
        <v>5.1517273981609932</v>
      </c>
      <c r="L80" s="68"/>
      <c r="M80" s="68"/>
      <c r="N80" s="68"/>
      <c r="O80" s="68"/>
      <c r="P80" s="68"/>
      <c r="Q80" s="68"/>
      <c r="R80" s="68"/>
      <c r="S80" s="68"/>
      <c r="T80" s="68"/>
      <c r="U80" s="68"/>
      <c r="V80" s="68"/>
      <c r="W80" s="68"/>
      <c r="X80" s="68"/>
      <c r="Y80" s="68"/>
      <c r="Z80" s="68"/>
      <c r="AA80" s="68"/>
      <c r="AB80" s="68"/>
      <c r="AC80" s="68"/>
      <c r="AD80" s="68"/>
      <c r="AE80" s="68"/>
      <c r="AF80" s="68"/>
      <c r="AG80" s="68"/>
    </row>
    <row r="81" spans="1:33" x14ac:dyDescent="0.2">
      <c r="B81" s="7"/>
      <c r="C81" s="7"/>
      <c r="D81" s="44"/>
      <c r="E81" s="7"/>
      <c r="F81" s="8"/>
      <c r="G81" s="7"/>
      <c r="H81" s="44"/>
      <c r="I81" s="7"/>
      <c r="J81" s="20"/>
    </row>
    <row r="82" spans="1:33" s="47" customFormat="1" x14ac:dyDescent="0.2">
      <c r="A82" s="46"/>
      <c r="B82" s="52" t="s">
        <v>326</v>
      </c>
      <c r="C82" s="52"/>
      <c r="D82" s="65"/>
      <c r="E82" s="52"/>
      <c r="F82" s="53"/>
      <c r="G82" s="52"/>
      <c r="H82" s="65"/>
      <c r="I82" s="52"/>
      <c r="J82" s="54">
        <f>J14-J79</f>
        <v>-123.33819185287945</v>
      </c>
      <c r="L82" s="46"/>
      <c r="M82" s="46"/>
      <c r="N82" s="46"/>
      <c r="O82" s="46"/>
      <c r="P82" s="46"/>
      <c r="Q82" s="46"/>
      <c r="R82" s="46"/>
      <c r="S82" s="46"/>
      <c r="T82" s="46"/>
      <c r="U82" s="46"/>
      <c r="V82" s="46"/>
      <c r="W82" s="46"/>
      <c r="X82" s="46"/>
      <c r="Y82" s="46"/>
      <c r="Z82" s="46"/>
      <c r="AA82" s="46"/>
      <c r="AB82" s="46"/>
      <c r="AC82" s="46"/>
      <c r="AD82" s="46"/>
      <c r="AE82" s="46"/>
      <c r="AF82" s="46"/>
      <c r="AG82" s="46"/>
    </row>
    <row r="83" spans="1:33" x14ac:dyDescent="0.2">
      <c r="B83" s="3"/>
      <c r="C83" s="3"/>
      <c r="D83" s="2"/>
      <c r="E83" s="3"/>
      <c r="F83" s="4"/>
      <c r="G83" s="3"/>
      <c r="H83" s="2"/>
      <c r="I83" s="3"/>
      <c r="J83" s="149"/>
    </row>
    <row r="84" spans="1:33" x14ac:dyDescent="0.2">
      <c r="B84" s="56" t="s">
        <v>97</v>
      </c>
      <c r="C84" s="56"/>
      <c r="D84" s="76"/>
      <c r="E84" s="56"/>
      <c r="F84" s="57"/>
      <c r="G84" s="56"/>
      <c r="H84" s="76"/>
      <c r="I84" s="56"/>
      <c r="J84" s="56"/>
      <c r="K84" s="14"/>
    </row>
    <row r="85" spans="1:33" s="482" customFormat="1" ht="15.6" customHeight="1" x14ac:dyDescent="0.2">
      <c r="B85" s="563" t="s">
        <v>468</v>
      </c>
      <c r="C85" s="563"/>
      <c r="D85" s="563"/>
      <c r="E85" s="563"/>
      <c r="F85" s="563"/>
      <c r="G85" s="563"/>
      <c r="H85" s="563"/>
      <c r="I85" s="563"/>
      <c r="J85" s="563"/>
    </row>
    <row r="86" spans="1:33" s="40" customFormat="1" ht="16.5" customHeight="1" x14ac:dyDescent="0.2">
      <c r="B86" s="563" t="s">
        <v>338</v>
      </c>
      <c r="C86" s="563"/>
      <c r="D86" s="563"/>
      <c r="E86" s="563"/>
      <c r="F86" s="563"/>
      <c r="G86" s="563"/>
      <c r="H86" s="563"/>
      <c r="I86" s="563"/>
      <c r="J86" s="563"/>
    </row>
    <row r="87" spans="1:33" s="40" customFormat="1" ht="16.5" customHeight="1" x14ac:dyDescent="0.2">
      <c r="B87" s="568" t="s">
        <v>339</v>
      </c>
      <c r="C87" s="569"/>
      <c r="D87" s="569"/>
      <c r="E87" s="569"/>
      <c r="F87" s="569"/>
      <c r="G87" s="569"/>
      <c r="H87" s="569"/>
      <c r="I87" s="569"/>
      <c r="J87" s="569"/>
    </row>
    <row r="88" spans="1:33" s="40" customFormat="1" ht="15" customHeight="1" x14ac:dyDescent="0.2">
      <c r="B88" s="562"/>
      <c r="C88" s="562"/>
      <c r="D88" s="562"/>
      <c r="E88" s="562"/>
      <c r="F88" s="562"/>
      <c r="G88" s="562"/>
      <c r="H88" s="562"/>
      <c r="I88" s="562"/>
      <c r="J88" s="562"/>
    </row>
    <row r="89" spans="1:33" x14ac:dyDescent="0.2">
      <c r="B89" s="7"/>
      <c r="C89" s="7"/>
      <c r="D89" s="44"/>
      <c r="E89" s="7"/>
      <c r="F89" s="8"/>
      <c r="G89" s="7"/>
      <c r="H89" s="44"/>
      <c r="I89" s="7"/>
      <c r="J89" s="7"/>
    </row>
    <row r="90" spans="1:33" x14ac:dyDescent="0.2">
      <c r="B90" s="22" t="s">
        <v>98</v>
      </c>
      <c r="C90" s="7"/>
      <c r="D90" s="23" t="s">
        <v>99</v>
      </c>
      <c r="E90" s="7"/>
      <c r="F90" s="8"/>
      <c r="G90" s="7"/>
      <c r="H90" s="23" t="s">
        <v>101</v>
      </c>
      <c r="I90" s="7"/>
      <c r="J90" s="7"/>
    </row>
    <row r="91" spans="1:33" x14ac:dyDescent="0.2">
      <c r="B91" s="7"/>
      <c r="C91" s="7"/>
      <c r="D91" s="24">
        <v>0.1</v>
      </c>
      <c r="E91" s="7"/>
      <c r="F91" s="8" t="s">
        <v>100</v>
      </c>
      <c r="G91" s="7"/>
      <c r="H91" s="24">
        <v>0.1</v>
      </c>
      <c r="I91" s="7"/>
      <c r="J91" s="7"/>
    </row>
    <row r="92" spans="1:33" x14ac:dyDescent="0.2">
      <c r="B92" s="7"/>
      <c r="C92" s="7"/>
      <c r="D92" s="25"/>
      <c r="E92" s="3"/>
      <c r="F92" s="2" t="s">
        <v>102</v>
      </c>
      <c r="G92" s="3"/>
      <c r="H92" s="25"/>
      <c r="I92" s="7"/>
      <c r="J92" s="7"/>
    </row>
    <row r="93" spans="1:33" x14ac:dyDescent="0.2">
      <c r="B93" s="26" t="s">
        <v>169</v>
      </c>
      <c r="C93" s="7"/>
      <c r="D93" s="148">
        <f>F93*(1-D91)</f>
        <v>72</v>
      </c>
      <c r="E93" s="27"/>
      <c r="F93" s="28">
        <f>D14</f>
        <v>80</v>
      </c>
      <c r="G93" s="27"/>
      <c r="H93" s="148">
        <f>F93*(1+H91)</f>
        <v>88</v>
      </c>
      <c r="I93" s="7"/>
      <c r="J93" s="7"/>
    </row>
    <row r="94" spans="1:33" ht="4.5" customHeight="1" x14ac:dyDescent="0.2">
      <c r="B94" s="7"/>
      <c r="C94" s="7"/>
      <c r="D94" s="44"/>
      <c r="E94" s="7"/>
      <c r="F94" s="8"/>
      <c r="G94" s="7"/>
      <c r="H94" s="44"/>
      <c r="I94" s="7"/>
      <c r="J94" s="7"/>
    </row>
    <row r="95" spans="1:33" x14ac:dyDescent="0.2">
      <c r="B95" s="7" t="s">
        <v>170</v>
      </c>
      <c r="C95" s="7"/>
      <c r="D95" s="29">
        <f>$J$60/D93</f>
        <v>4.3267943312899924</v>
      </c>
      <c r="E95" s="7"/>
      <c r="F95" s="29">
        <f>$J$60/F93</f>
        <v>3.8941148981609937</v>
      </c>
      <c r="G95" s="7"/>
      <c r="H95" s="29">
        <f>$J$60/H93</f>
        <v>3.5401044528736305</v>
      </c>
      <c r="I95" s="7"/>
      <c r="J95" s="7"/>
    </row>
    <row r="96" spans="1:33" ht="4.5" customHeight="1" x14ac:dyDescent="0.2">
      <c r="B96" s="7"/>
      <c r="C96" s="7"/>
      <c r="D96" s="44"/>
      <c r="E96" s="7"/>
      <c r="F96" s="8"/>
      <c r="G96" s="7"/>
      <c r="H96" s="44"/>
      <c r="I96" s="7"/>
      <c r="J96" s="7"/>
    </row>
    <row r="97" spans="2:10" ht="12.95" customHeight="1" x14ac:dyDescent="0.2">
      <c r="B97" s="7" t="s">
        <v>171</v>
      </c>
      <c r="C97" s="7"/>
      <c r="D97" s="29">
        <f>$J$76/D93</f>
        <v>1.3973472222222223</v>
      </c>
      <c r="E97" s="7"/>
      <c r="F97" s="29">
        <f>$J$76/F93</f>
        <v>1.2576125</v>
      </c>
      <c r="G97" s="7"/>
      <c r="H97" s="29">
        <f>$J$76/H93</f>
        <v>1.1432840909090911</v>
      </c>
      <c r="I97" s="7"/>
      <c r="J97" s="7"/>
    </row>
    <row r="98" spans="2:10" ht="3.75" customHeight="1" x14ac:dyDescent="0.2">
      <c r="B98" s="7"/>
      <c r="C98" s="7"/>
      <c r="D98" s="44"/>
      <c r="E98" s="7"/>
      <c r="F98" s="8"/>
      <c r="G98" s="7"/>
      <c r="H98" s="44"/>
      <c r="I98" s="7"/>
      <c r="J98" s="7"/>
    </row>
    <row r="99" spans="2:10" x14ac:dyDescent="0.2">
      <c r="B99" s="7" t="s">
        <v>188</v>
      </c>
      <c r="C99" s="7"/>
      <c r="D99" s="29">
        <f>$J$79/D93</f>
        <v>5.7241415535122151</v>
      </c>
      <c r="E99" s="7"/>
      <c r="F99" s="29">
        <f>$J$79/F93</f>
        <v>5.1517273981609932</v>
      </c>
      <c r="G99" s="7"/>
      <c r="H99" s="29">
        <f>$J$79/H93</f>
        <v>4.683388543782721</v>
      </c>
      <c r="I99" s="7"/>
      <c r="J99" s="7"/>
    </row>
    <row r="100" spans="2:10" ht="5.25" customHeight="1" x14ac:dyDescent="0.2">
      <c r="B100" s="11"/>
      <c r="C100" s="11"/>
      <c r="D100" s="72"/>
      <c r="E100" s="11"/>
      <c r="F100" s="15"/>
      <c r="G100" s="11"/>
      <c r="H100" s="72"/>
      <c r="I100" s="11"/>
      <c r="J100" s="11"/>
    </row>
    <row r="101" spans="2:10" ht="5.25" customHeight="1" x14ac:dyDescent="0.2">
      <c r="B101" s="11"/>
      <c r="C101" s="11"/>
      <c r="D101" s="23" t="s">
        <v>99</v>
      </c>
      <c r="E101" s="7"/>
      <c r="F101" s="8"/>
      <c r="G101" s="7"/>
      <c r="H101" s="23" t="s">
        <v>101</v>
      </c>
      <c r="I101" s="11"/>
      <c r="J101" s="11"/>
    </row>
    <row r="102" spans="2:10" x14ac:dyDescent="0.2">
      <c r="B102" s="7"/>
      <c r="C102" s="7"/>
      <c r="D102" s="24">
        <v>0.1</v>
      </c>
      <c r="E102" s="7"/>
      <c r="F102" s="8" t="s">
        <v>100</v>
      </c>
      <c r="G102" s="7"/>
      <c r="H102" s="24">
        <v>0.1</v>
      </c>
      <c r="I102" s="7"/>
      <c r="J102" s="7"/>
    </row>
    <row r="103" spans="2:10" x14ac:dyDescent="0.2">
      <c r="B103" s="7"/>
      <c r="C103" s="7"/>
      <c r="D103" s="2"/>
      <c r="E103" s="3"/>
      <c r="F103" s="4" t="s">
        <v>169</v>
      </c>
      <c r="G103" s="3"/>
      <c r="H103" s="2"/>
      <c r="I103" s="7"/>
      <c r="J103" s="7"/>
    </row>
    <row r="104" spans="2:10" x14ac:dyDescent="0.2">
      <c r="B104" s="26" t="s">
        <v>102</v>
      </c>
      <c r="C104" s="7"/>
      <c r="D104" s="30">
        <f>F104*(1-D91)</f>
        <v>3.2490000000000001</v>
      </c>
      <c r="E104" s="27"/>
      <c r="F104" s="31">
        <f>H14</f>
        <v>3.61</v>
      </c>
      <c r="G104" s="27"/>
      <c r="H104" s="30">
        <f>F104*(1+H91)</f>
        <v>3.9710000000000001</v>
      </c>
      <c r="I104" s="7"/>
      <c r="J104" s="7"/>
    </row>
    <row r="105" spans="2:10" ht="4.5" customHeight="1" x14ac:dyDescent="0.2">
      <c r="B105" s="7"/>
      <c r="C105" s="7"/>
      <c r="D105" s="44"/>
      <c r="E105" s="7"/>
      <c r="F105" s="8"/>
      <c r="G105" s="7"/>
      <c r="H105" s="44"/>
      <c r="I105" s="7"/>
      <c r="J105" s="7"/>
    </row>
    <row r="106" spans="2:10" x14ac:dyDescent="0.2">
      <c r="B106" s="7" t="s">
        <v>170</v>
      </c>
      <c r="C106" s="7"/>
      <c r="D106" s="32">
        <f>$J$60/D104</f>
        <v>95.884638920553854</v>
      </c>
      <c r="E106" s="7"/>
      <c r="F106" s="32">
        <f>$J$60/F104</f>
        <v>86.296175028498467</v>
      </c>
      <c r="G106" s="7"/>
      <c r="H106" s="32">
        <f>$J$60/H104</f>
        <v>78.451068207725882</v>
      </c>
      <c r="I106" s="7"/>
      <c r="J106" s="7"/>
    </row>
    <row r="107" spans="2:10" ht="3" customHeight="1" x14ac:dyDescent="0.2">
      <c r="B107" s="7"/>
      <c r="C107" s="7"/>
      <c r="D107" s="44"/>
      <c r="E107" s="7"/>
      <c r="F107" s="8"/>
      <c r="G107" s="7"/>
      <c r="H107" s="44"/>
      <c r="I107" s="7"/>
      <c r="J107" s="7"/>
    </row>
    <row r="108" spans="2:10" x14ac:dyDescent="0.2">
      <c r="B108" s="7" t="s">
        <v>171</v>
      </c>
      <c r="C108" s="7"/>
      <c r="D108" s="32">
        <f>$J$76/D104</f>
        <v>30.966143428747309</v>
      </c>
      <c r="E108" s="7"/>
      <c r="F108" s="32">
        <f>$J$76/F104</f>
        <v>27.869529085872578</v>
      </c>
      <c r="G108" s="7"/>
      <c r="H108" s="32">
        <f>$J$76/H104</f>
        <v>25.335935532611433</v>
      </c>
      <c r="I108" s="7"/>
      <c r="J108" s="7"/>
    </row>
    <row r="109" spans="2:10" ht="3.75" customHeight="1" x14ac:dyDescent="0.2">
      <c r="B109" s="7"/>
      <c r="C109" s="7"/>
      <c r="D109" s="44"/>
      <c r="E109" s="7"/>
      <c r="F109" s="8"/>
      <c r="G109" s="7"/>
      <c r="H109" s="44"/>
      <c r="I109" s="7"/>
      <c r="J109" s="7"/>
    </row>
    <row r="110" spans="2:10" x14ac:dyDescent="0.2">
      <c r="B110" s="7" t="s">
        <v>188</v>
      </c>
      <c r="C110" s="7"/>
      <c r="D110" s="32">
        <f>$J$79/D104</f>
        <v>126.85078234930116</v>
      </c>
      <c r="E110" s="7"/>
      <c r="F110" s="32">
        <f>$J$79/F104</f>
        <v>114.16570411437104</v>
      </c>
      <c r="G110" s="7"/>
      <c r="H110" s="32">
        <f>$J$79/H104</f>
        <v>103.78700374033731</v>
      </c>
      <c r="I110" s="7"/>
      <c r="J110" s="7"/>
    </row>
    <row r="111" spans="2:10" ht="5.25" customHeight="1" x14ac:dyDescent="0.2">
      <c r="B111" s="7"/>
      <c r="C111" s="7"/>
      <c r="D111" s="44"/>
      <c r="E111" s="7"/>
      <c r="F111" s="8"/>
      <c r="G111" s="7"/>
      <c r="H111" s="44"/>
      <c r="I111" s="7"/>
      <c r="J111" s="7"/>
    </row>
    <row r="112" spans="2:10" x14ac:dyDescent="0.2">
      <c r="B112" s="3"/>
      <c r="C112" s="3"/>
      <c r="D112" s="2"/>
      <c r="E112" s="3"/>
      <c r="F112" s="4"/>
      <c r="G112" s="3"/>
      <c r="H112" s="2"/>
      <c r="I112" s="3"/>
      <c r="J112" s="3"/>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sheetData>
  <mergeCells count="12">
    <mergeCell ref="B88:J88"/>
    <mergeCell ref="B3:J3"/>
    <mergeCell ref="B6:J6"/>
    <mergeCell ref="B8:K8"/>
    <mergeCell ref="M14:Q14"/>
    <mergeCell ref="M15:R15"/>
    <mergeCell ref="B65:D65"/>
    <mergeCell ref="B66:D66"/>
    <mergeCell ref="B67:D67"/>
    <mergeCell ref="B85:J85"/>
    <mergeCell ref="B86:J86"/>
    <mergeCell ref="B87:J87"/>
  </mergeCells>
  <pageMargins left="0.7" right="0.7" top="0.75" bottom="0.75" header="0.3" footer="0.3"/>
  <pageSetup scale="96"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workbookViewId="0">
      <selection activeCell="E23" sqref="B2:E23"/>
    </sheetView>
  </sheetViews>
  <sheetFormatPr defaultColWidth="8.7109375" defaultRowHeight="12.75" x14ac:dyDescent="0.2"/>
  <cols>
    <col min="1" max="1" width="3.140625" customWidth="1"/>
    <col min="2" max="2" width="11" customWidth="1"/>
    <col min="3" max="3" width="16.28515625" customWidth="1"/>
    <col min="4" max="4" width="28.5703125" customWidth="1"/>
    <col min="5" max="5" width="40.5703125" customWidth="1"/>
    <col min="6" max="26" width="8.7109375" style="40" customWidth="1"/>
  </cols>
  <sheetData>
    <row r="1" spans="1:5" ht="17.25" customHeight="1" x14ac:dyDescent="0.2">
      <c r="A1" s="40"/>
      <c r="B1" s="40"/>
      <c r="C1" s="40"/>
      <c r="D1" s="40"/>
      <c r="E1" s="40"/>
    </row>
    <row r="2" spans="1:5" ht="39" customHeight="1" x14ac:dyDescent="0.25">
      <c r="A2" s="40"/>
      <c r="B2" s="571" t="s">
        <v>600</v>
      </c>
      <c r="C2" s="572"/>
      <c r="D2" s="572"/>
      <c r="E2" s="572"/>
    </row>
    <row r="3" spans="1:5" ht="6" customHeight="1" x14ac:dyDescent="0.25">
      <c r="A3" s="40"/>
      <c r="B3" s="174"/>
      <c r="C3" s="175"/>
      <c r="D3" s="175"/>
      <c r="E3" s="175"/>
    </row>
    <row r="4" spans="1:5" ht="33.75" customHeight="1" x14ac:dyDescent="0.2">
      <c r="A4" s="40"/>
      <c r="B4" s="176" t="s">
        <v>287</v>
      </c>
      <c r="C4" s="176" t="s">
        <v>289</v>
      </c>
      <c r="D4" s="176" t="s">
        <v>291</v>
      </c>
      <c r="E4" s="176" t="s">
        <v>292</v>
      </c>
    </row>
    <row r="5" spans="1:5" x14ac:dyDescent="0.2">
      <c r="A5" s="40"/>
      <c r="B5" s="67"/>
      <c r="C5" s="67"/>
      <c r="D5" s="67"/>
      <c r="E5" s="67" t="s">
        <v>547</v>
      </c>
    </row>
    <row r="6" spans="1:5" x14ac:dyDescent="0.2">
      <c r="A6" s="40"/>
      <c r="B6" s="67" t="s">
        <v>274</v>
      </c>
      <c r="C6" s="67" t="s">
        <v>229</v>
      </c>
      <c r="D6" s="67" t="s">
        <v>23</v>
      </c>
      <c r="E6" s="67" t="s">
        <v>548</v>
      </c>
    </row>
    <row r="7" spans="1:5" x14ac:dyDescent="0.2">
      <c r="A7" s="40"/>
      <c r="B7" s="38"/>
      <c r="C7" s="38"/>
      <c r="D7" s="38"/>
      <c r="E7" s="38"/>
    </row>
    <row r="8" spans="1:5" x14ac:dyDescent="0.2">
      <c r="A8" s="40"/>
      <c r="B8" s="5" t="s">
        <v>274</v>
      </c>
      <c r="C8" s="5" t="s">
        <v>259</v>
      </c>
      <c r="D8" s="5" t="s">
        <v>56</v>
      </c>
      <c r="E8" s="5"/>
    </row>
    <row r="9" spans="1:5" x14ac:dyDescent="0.2">
      <c r="A9" s="40"/>
      <c r="B9" s="67"/>
      <c r="C9" s="67"/>
      <c r="D9" s="67"/>
      <c r="E9" s="67"/>
    </row>
    <row r="10" spans="1:5" x14ac:dyDescent="0.2">
      <c r="A10" s="40"/>
      <c r="B10" s="37" t="s">
        <v>274</v>
      </c>
      <c r="C10" s="37" t="s">
        <v>241</v>
      </c>
      <c r="D10" s="37" t="s">
        <v>62</v>
      </c>
      <c r="E10" s="37" t="s">
        <v>549</v>
      </c>
    </row>
    <row r="11" spans="1:5" x14ac:dyDescent="0.2">
      <c r="A11" s="40"/>
      <c r="B11" s="38"/>
      <c r="C11" s="38"/>
      <c r="D11" s="38"/>
      <c r="E11" s="38"/>
    </row>
    <row r="12" spans="1:5" x14ac:dyDescent="0.2">
      <c r="A12" s="56"/>
      <c r="B12" s="5" t="s">
        <v>154</v>
      </c>
      <c r="C12" s="5" t="s">
        <v>155</v>
      </c>
      <c r="D12" s="5"/>
      <c r="E12" s="5"/>
    </row>
    <row r="13" spans="1:5" x14ac:dyDescent="0.2">
      <c r="A13" s="40"/>
      <c r="B13" s="11"/>
      <c r="C13" s="573" t="s">
        <v>550</v>
      </c>
      <c r="D13" s="11"/>
      <c r="E13" s="437" t="s">
        <v>458</v>
      </c>
    </row>
    <row r="14" spans="1:5" x14ac:dyDescent="0.2">
      <c r="A14" s="40"/>
      <c r="B14" s="3" t="s">
        <v>154</v>
      </c>
      <c r="C14" s="574"/>
      <c r="D14" s="438" t="s">
        <v>449</v>
      </c>
      <c r="E14" s="3" t="s">
        <v>551</v>
      </c>
    </row>
    <row r="15" spans="1:5" x14ac:dyDescent="0.2">
      <c r="A15" s="40"/>
      <c r="B15" s="11"/>
      <c r="C15" s="11"/>
      <c r="D15" s="437"/>
      <c r="E15" s="11"/>
    </row>
    <row r="16" spans="1:5" x14ac:dyDescent="0.2">
      <c r="A16" s="40"/>
      <c r="B16" s="437" t="s">
        <v>213</v>
      </c>
      <c r="C16" s="437" t="s">
        <v>118</v>
      </c>
      <c r="D16" s="437" t="s">
        <v>119</v>
      </c>
      <c r="E16" s="437" t="s">
        <v>456</v>
      </c>
    </row>
    <row r="17" spans="1:26" x14ac:dyDescent="0.2">
      <c r="A17" s="40"/>
      <c r="B17" s="38"/>
      <c r="C17" s="38"/>
      <c r="D17" s="38"/>
      <c r="E17" s="38"/>
    </row>
    <row r="18" spans="1:26" x14ac:dyDescent="0.2">
      <c r="A18" s="40"/>
      <c r="B18" s="5" t="s">
        <v>288</v>
      </c>
      <c r="C18" s="5" t="s">
        <v>293</v>
      </c>
      <c r="D18" s="5" t="s">
        <v>28</v>
      </c>
      <c r="E18" s="5"/>
    </row>
    <row r="19" spans="1:26" x14ac:dyDescent="0.2">
      <c r="A19" s="40"/>
      <c r="B19" s="39"/>
      <c r="C19" s="39"/>
      <c r="D19" s="39"/>
      <c r="E19" s="11" t="s">
        <v>29</v>
      </c>
      <c r="L19"/>
      <c r="M19"/>
      <c r="N19"/>
      <c r="O19"/>
      <c r="P19"/>
      <c r="Q19"/>
      <c r="R19"/>
      <c r="S19"/>
      <c r="T19"/>
      <c r="U19"/>
      <c r="V19"/>
      <c r="W19"/>
      <c r="X19"/>
      <c r="Y19"/>
      <c r="Z19"/>
    </row>
    <row r="20" spans="1:26" x14ac:dyDescent="0.2">
      <c r="A20" s="40"/>
      <c r="B20" s="3" t="s">
        <v>271</v>
      </c>
      <c r="C20" s="3" t="s">
        <v>245</v>
      </c>
      <c r="D20" s="3" t="s">
        <v>54</v>
      </c>
      <c r="E20" s="3" t="s">
        <v>283</v>
      </c>
      <c r="L20"/>
      <c r="M20"/>
      <c r="N20"/>
      <c r="O20"/>
      <c r="P20"/>
      <c r="Q20"/>
      <c r="R20"/>
      <c r="S20"/>
      <c r="T20"/>
      <c r="U20"/>
      <c r="V20"/>
      <c r="W20"/>
      <c r="X20"/>
      <c r="Y20"/>
      <c r="Z20"/>
    </row>
    <row r="21" spans="1:26" x14ac:dyDescent="0.2">
      <c r="A21" s="40"/>
      <c r="B21" s="38"/>
      <c r="C21" s="38"/>
      <c r="D21" s="38"/>
      <c r="E21" s="38" t="s">
        <v>29</v>
      </c>
      <c r="L21"/>
      <c r="M21"/>
      <c r="N21"/>
      <c r="O21"/>
      <c r="P21"/>
      <c r="Q21"/>
      <c r="R21"/>
      <c r="S21"/>
      <c r="T21"/>
      <c r="U21"/>
      <c r="V21"/>
      <c r="W21"/>
      <c r="X21"/>
      <c r="Y21"/>
      <c r="Z21"/>
    </row>
    <row r="22" spans="1:26" x14ac:dyDescent="0.2">
      <c r="A22" s="40"/>
      <c r="B22" s="5" t="s">
        <v>271</v>
      </c>
      <c r="C22" s="5" t="s">
        <v>246</v>
      </c>
      <c r="D22" s="5" t="s">
        <v>55</v>
      </c>
      <c r="E22" s="5" t="s">
        <v>187</v>
      </c>
      <c r="L22"/>
      <c r="M22"/>
      <c r="N22"/>
      <c r="O22"/>
      <c r="P22"/>
      <c r="Q22"/>
      <c r="R22"/>
      <c r="S22"/>
      <c r="T22"/>
      <c r="U22"/>
      <c r="V22"/>
      <c r="W22"/>
      <c r="X22"/>
      <c r="Y22"/>
      <c r="Z22"/>
    </row>
    <row r="23" spans="1:26" x14ac:dyDescent="0.2">
      <c r="A23" s="40"/>
      <c r="B23" s="40"/>
      <c r="C23" s="40"/>
      <c r="D23" s="40"/>
      <c r="E23" s="40"/>
    </row>
    <row r="24" spans="1:26" x14ac:dyDescent="0.2">
      <c r="A24" s="40"/>
      <c r="B24" s="40"/>
      <c r="C24" s="40"/>
      <c r="D24" s="40"/>
      <c r="E24" s="40"/>
    </row>
    <row r="25" spans="1:26" x14ac:dyDescent="0.2">
      <c r="A25" s="40"/>
      <c r="B25" s="40"/>
      <c r="C25" s="40"/>
      <c r="D25" s="40"/>
      <c r="E25" s="40"/>
    </row>
    <row r="26" spans="1:26" x14ac:dyDescent="0.2">
      <c r="A26" s="40"/>
      <c r="B26" s="40"/>
      <c r="C26" s="40"/>
      <c r="D26" s="40"/>
      <c r="E26" s="40"/>
    </row>
    <row r="27" spans="1:26" x14ac:dyDescent="0.2">
      <c r="A27" s="40"/>
      <c r="B27" s="40"/>
      <c r="C27" s="40"/>
      <c r="D27" s="40"/>
      <c r="E27" s="40"/>
    </row>
    <row r="28" spans="1:26" x14ac:dyDescent="0.2">
      <c r="A28" s="40"/>
      <c r="B28" s="40"/>
      <c r="C28" s="40"/>
      <c r="D28" s="40"/>
      <c r="E28" s="40"/>
    </row>
    <row r="29" spans="1:26" x14ac:dyDescent="0.2">
      <c r="A29" s="40"/>
      <c r="B29" s="40"/>
      <c r="C29" s="40"/>
      <c r="D29" s="40"/>
      <c r="E29" s="40"/>
    </row>
    <row r="30" spans="1:26" x14ac:dyDescent="0.2">
      <c r="A30" s="40"/>
      <c r="B30" s="40"/>
      <c r="C30" s="40"/>
      <c r="D30" s="40"/>
      <c r="E30" s="40"/>
    </row>
    <row r="31" spans="1:26" x14ac:dyDescent="0.2">
      <c r="A31" s="40"/>
      <c r="B31" s="40"/>
      <c r="C31" s="40"/>
      <c r="D31" s="40"/>
      <c r="E31" s="40"/>
    </row>
    <row r="32" spans="1:26" x14ac:dyDescent="0.2">
      <c r="A32" s="40"/>
      <c r="B32" s="40"/>
      <c r="C32" s="40"/>
      <c r="D32" s="40"/>
      <c r="E32" s="40"/>
    </row>
    <row r="33" spans="1:5" x14ac:dyDescent="0.2">
      <c r="A33" s="40"/>
      <c r="B33" s="40"/>
      <c r="C33" s="40"/>
      <c r="D33" s="40"/>
      <c r="E33" s="40"/>
    </row>
    <row r="34" spans="1:5" x14ac:dyDescent="0.2">
      <c r="A34" s="40"/>
      <c r="B34" s="40"/>
      <c r="C34" s="40"/>
      <c r="D34" s="40"/>
      <c r="E34" s="40"/>
    </row>
    <row r="35" spans="1:5" x14ac:dyDescent="0.2">
      <c r="A35" s="40"/>
      <c r="B35" s="40"/>
      <c r="C35" s="40"/>
      <c r="D35" s="40"/>
      <c r="E35" s="40"/>
    </row>
    <row r="36" spans="1:5" x14ac:dyDescent="0.2">
      <c r="A36" s="40"/>
      <c r="B36" s="40"/>
      <c r="C36" s="40"/>
      <c r="D36" s="40"/>
      <c r="E36" s="40"/>
    </row>
    <row r="37" spans="1:5" x14ac:dyDescent="0.2">
      <c r="A37" s="40"/>
      <c r="B37" s="40"/>
      <c r="C37" s="40"/>
      <c r="D37" s="40"/>
      <c r="E37" s="40"/>
    </row>
    <row r="38" spans="1:5" x14ac:dyDescent="0.2">
      <c r="A38" s="40"/>
      <c r="B38" s="40"/>
      <c r="C38" s="40"/>
      <c r="D38" s="40"/>
      <c r="E38" s="40"/>
    </row>
    <row r="39" spans="1:5" x14ac:dyDescent="0.2">
      <c r="A39" s="40"/>
      <c r="B39" s="40"/>
      <c r="C39" s="40"/>
      <c r="D39" s="40"/>
      <c r="E39" s="40"/>
    </row>
    <row r="40" spans="1:5" x14ac:dyDescent="0.2">
      <c r="A40" s="40"/>
      <c r="B40" s="40"/>
      <c r="C40" s="40"/>
      <c r="D40" s="40"/>
      <c r="E40" s="40"/>
    </row>
    <row r="41" spans="1:5" x14ac:dyDescent="0.2">
      <c r="A41" s="40"/>
      <c r="B41" s="40"/>
      <c r="C41" s="40"/>
      <c r="D41" s="40"/>
      <c r="E41" s="40"/>
    </row>
    <row r="42" spans="1:5" x14ac:dyDescent="0.2">
      <c r="A42" s="40"/>
      <c r="B42" s="40"/>
      <c r="C42" s="40"/>
      <c r="D42" s="40"/>
      <c r="E42" s="40"/>
    </row>
    <row r="43" spans="1:5" x14ac:dyDescent="0.2">
      <c r="A43" s="40"/>
      <c r="B43" s="40"/>
      <c r="C43" s="40"/>
      <c r="D43" s="40"/>
      <c r="E43" s="40"/>
    </row>
    <row r="44" spans="1:5" x14ac:dyDescent="0.2">
      <c r="A44" s="40"/>
      <c r="B44" s="40"/>
      <c r="C44" s="40"/>
      <c r="D44" s="40"/>
      <c r="E44" s="40"/>
    </row>
    <row r="45" spans="1:5" x14ac:dyDescent="0.2">
      <c r="A45" s="40"/>
      <c r="B45" s="40"/>
      <c r="C45" s="40"/>
      <c r="D45" s="40"/>
      <c r="E45" s="40"/>
    </row>
    <row r="46" spans="1:5" x14ac:dyDescent="0.2">
      <c r="A46" s="40"/>
      <c r="B46" s="40"/>
      <c r="C46" s="40"/>
      <c r="D46" s="40"/>
      <c r="E46" s="40"/>
    </row>
    <row r="47" spans="1:5" x14ac:dyDescent="0.2">
      <c r="A47" s="40"/>
      <c r="B47" s="40"/>
      <c r="C47" s="40"/>
      <c r="D47" s="40"/>
      <c r="E47" s="40"/>
    </row>
    <row r="48" spans="1:5" x14ac:dyDescent="0.2">
      <c r="A48" s="40"/>
      <c r="B48" s="40"/>
      <c r="C48" s="40"/>
      <c r="D48" s="40"/>
      <c r="E48" s="40"/>
    </row>
  </sheetData>
  <mergeCells count="2">
    <mergeCell ref="B2:E2"/>
    <mergeCell ref="C13:C14"/>
  </mergeCells>
  <pageMargins left="0.7" right="0.7" top="0.75" bottom="0.75" header="0.3" footer="0.3"/>
  <pageSetup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5"/>
  <sheetViews>
    <sheetView topLeftCell="A92" zoomScaleNormal="100" zoomScaleSheetLayoutView="100" workbookViewId="0">
      <selection activeCell="B100" sqref="B100"/>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x14ac:dyDescent="0.2">
      <c r="A1" s="40"/>
      <c r="B1" s="40"/>
      <c r="C1" s="40"/>
      <c r="D1" s="40"/>
      <c r="E1" s="40"/>
      <c r="F1" s="40"/>
      <c r="G1" s="40"/>
      <c r="H1" s="40"/>
      <c r="I1" s="40"/>
      <c r="J1" s="40"/>
      <c r="K1" s="40"/>
      <c r="M1" s="565"/>
      <c r="N1" s="565"/>
      <c r="O1" s="565"/>
      <c r="P1" s="565"/>
      <c r="Q1" s="565"/>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ht="9.75" customHeight="1" x14ac:dyDescent="0.2">
      <c r="A7" s="40"/>
      <c r="B7" s="40"/>
      <c r="C7" s="40"/>
      <c r="D7" s="58"/>
      <c r="E7" s="40"/>
      <c r="F7" s="41"/>
      <c r="G7" s="40"/>
      <c r="H7" s="58"/>
      <c r="I7" s="40"/>
      <c r="J7" s="40"/>
    </row>
    <row r="8" spans="1:44" s="92" customFormat="1" ht="31.5" customHeight="1" x14ac:dyDescent="0.25">
      <c r="A8" s="91"/>
      <c r="B8" s="576" t="s">
        <v>523</v>
      </c>
      <c r="C8" s="572"/>
      <c r="D8" s="572"/>
      <c r="E8" s="572"/>
      <c r="F8" s="572"/>
      <c r="G8" s="572"/>
      <c r="H8" s="572"/>
      <c r="I8" s="572"/>
      <c r="J8" s="572"/>
      <c r="K8" s="49"/>
      <c r="L8" s="91"/>
      <c r="M8" s="91"/>
      <c r="N8" s="91"/>
      <c r="O8" s="91"/>
      <c r="P8" s="91"/>
      <c r="Q8" s="91"/>
      <c r="R8" s="91"/>
      <c r="S8" s="91"/>
      <c r="T8" s="91"/>
      <c r="U8" s="91"/>
      <c r="V8" s="91"/>
      <c r="W8" s="91"/>
      <c r="X8" s="91"/>
      <c r="Y8" s="91"/>
      <c r="Z8" s="91"/>
      <c r="AA8" s="91"/>
      <c r="AB8" s="91"/>
      <c r="AC8" s="91"/>
      <c r="AD8" s="91"/>
      <c r="AE8" s="91"/>
      <c r="AF8" s="91"/>
      <c r="AG8" s="91"/>
    </row>
    <row r="9" spans="1:44" s="35" customFormat="1" ht="3.75" customHeight="1" x14ac:dyDescent="0.2">
      <c r="A9" s="40"/>
      <c r="B9" s="177"/>
      <c r="C9" s="177"/>
      <c r="D9" s="178"/>
      <c r="E9" s="177"/>
      <c r="F9" s="179"/>
      <c r="G9" s="177"/>
      <c r="H9" s="178"/>
      <c r="I9" s="177"/>
      <c r="J9" s="177"/>
      <c r="K9" s="34"/>
      <c r="L9" s="40"/>
      <c r="M9" s="40"/>
      <c r="N9" s="40"/>
      <c r="O9" s="40"/>
      <c r="P9" s="40"/>
      <c r="Q9" s="40"/>
      <c r="R9" s="40"/>
      <c r="S9" s="40"/>
      <c r="T9" s="40"/>
      <c r="U9" s="40"/>
      <c r="V9" s="40"/>
      <c r="W9" s="40"/>
      <c r="X9" s="40"/>
      <c r="Y9" s="40"/>
      <c r="Z9" s="40"/>
      <c r="AA9" s="40"/>
      <c r="AB9" s="40"/>
      <c r="AC9" s="40"/>
      <c r="AD9" s="40"/>
      <c r="AE9" s="40"/>
      <c r="AF9" s="40"/>
      <c r="AG9" s="40"/>
    </row>
    <row r="10" spans="1:44" s="86" customFormat="1" ht="14.25" x14ac:dyDescent="0.2">
      <c r="A10" s="81"/>
      <c r="B10" s="82"/>
      <c r="C10" s="82"/>
      <c r="D10" s="83" t="s">
        <v>249</v>
      </c>
      <c r="E10" s="83"/>
      <c r="F10" s="84"/>
      <c r="G10" s="83"/>
      <c r="H10" s="83" t="s">
        <v>250</v>
      </c>
      <c r="I10" s="83"/>
      <c r="J10" s="85"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252</v>
      </c>
      <c r="C11" s="220"/>
      <c r="D11" s="87" t="s">
        <v>156</v>
      </c>
      <c r="E11" s="87"/>
      <c r="F11" s="221" t="s">
        <v>157</v>
      </c>
      <c r="G11" s="87"/>
      <c r="H11" s="87" t="s">
        <v>5</v>
      </c>
      <c r="I11" s="87"/>
      <c r="J11" s="222"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199</v>
      </c>
      <c r="C13" s="7"/>
      <c r="D13" s="44"/>
      <c r="E13" s="7"/>
      <c r="F13" s="8"/>
      <c r="G13" s="7"/>
      <c r="H13" s="44"/>
      <c r="I13" s="7"/>
      <c r="J13" s="9"/>
    </row>
    <row r="14" spans="1:44" x14ac:dyDescent="0.2">
      <c r="A14" s="40"/>
      <c r="B14" s="10" t="s">
        <v>242</v>
      </c>
      <c r="C14" s="11"/>
      <c r="D14" s="363">
        <v>55</v>
      </c>
      <c r="E14" s="11"/>
      <c r="F14" s="12" t="s">
        <v>256</v>
      </c>
      <c r="G14" s="11"/>
      <c r="H14" s="364">
        <f>+Summary!$E$17</f>
        <v>3.61</v>
      </c>
      <c r="I14" s="11"/>
      <c r="J14" s="13">
        <f>D14*H14</f>
        <v>198.54999999999998</v>
      </c>
      <c r="K14" s="14"/>
      <c r="M14" s="48"/>
      <c r="N14" s="48"/>
      <c r="O14" s="48"/>
      <c r="P14" s="48"/>
      <c r="Q14" s="48"/>
    </row>
    <row r="15" spans="1:44" ht="2.25" customHeight="1" x14ac:dyDescent="0.2">
      <c r="A15" s="40"/>
      <c r="B15" s="11"/>
      <c r="C15" s="11"/>
      <c r="D15" s="72"/>
      <c r="E15" s="11"/>
      <c r="F15" s="15"/>
      <c r="G15" s="11"/>
      <c r="H15" s="77"/>
      <c r="I15" s="11"/>
      <c r="J15" s="13"/>
      <c r="K15" s="14"/>
    </row>
    <row r="16" spans="1:44" x14ac:dyDescent="0.2">
      <c r="A16" s="40"/>
      <c r="B16" s="6" t="s">
        <v>167</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200</v>
      </c>
      <c r="C18" s="7"/>
      <c r="D18" s="66"/>
      <c r="E18" s="7"/>
      <c r="F18" s="8"/>
      <c r="G18" s="7"/>
      <c r="H18" s="61"/>
      <c r="I18" s="7"/>
      <c r="J18" s="325">
        <f>SUM(J19:J19)</f>
        <v>20.8</v>
      </c>
    </row>
    <row r="19" spans="1:33" x14ac:dyDescent="0.2">
      <c r="A19" s="40"/>
      <c r="B19" s="18" t="s">
        <v>243</v>
      </c>
      <c r="C19" s="7"/>
      <c r="D19" s="361">
        <v>80</v>
      </c>
      <c r="E19" s="7"/>
      <c r="F19" s="19" t="s">
        <v>189</v>
      </c>
      <c r="G19" s="7"/>
      <c r="H19" s="356">
        <f>SWSWSd</f>
        <v>0.26</v>
      </c>
      <c r="I19" s="7"/>
      <c r="J19" s="16">
        <f>D19*H19</f>
        <v>20.8</v>
      </c>
    </row>
    <row r="20" spans="1:33" ht="5.0999999999999996" customHeight="1" x14ac:dyDescent="0.2">
      <c r="A20" s="40"/>
      <c r="B20" s="7"/>
      <c r="C20" s="7"/>
      <c r="D20" s="44"/>
      <c r="E20" s="7"/>
      <c r="F20" s="8"/>
      <c r="G20" s="7"/>
      <c r="H20" s="61"/>
      <c r="I20" s="7"/>
      <c r="J20" s="16"/>
    </row>
    <row r="21" spans="1:33" x14ac:dyDescent="0.2">
      <c r="A21" s="40"/>
      <c r="B21" s="52" t="s">
        <v>212</v>
      </c>
      <c r="C21" s="7"/>
      <c r="D21" s="44"/>
      <c r="E21" s="7"/>
      <c r="F21" s="8"/>
      <c r="G21" s="7"/>
      <c r="H21" s="61"/>
      <c r="I21" s="7"/>
      <c r="J21" s="325">
        <f>SUM(J24:J27)</f>
        <v>69.349999999999994</v>
      </c>
      <c r="M21" s="42"/>
    </row>
    <row r="22" spans="1:33" s="50" customFormat="1" x14ac:dyDescent="0.2">
      <c r="A22" s="68"/>
      <c r="B22" s="315" t="s">
        <v>343</v>
      </c>
      <c r="C22" s="69"/>
      <c r="D22" s="75"/>
      <c r="E22" s="69"/>
      <c r="F22" s="70"/>
      <c r="G22" s="69"/>
      <c r="H22" s="316"/>
      <c r="I22" s="69"/>
      <c r="J22" s="31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417</v>
      </c>
      <c r="C24" s="7"/>
      <c r="D24" s="361">
        <v>80</v>
      </c>
      <c r="E24" s="7"/>
      <c r="F24" s="19" t="s">
        <v>189</v>
      </c>
      <c r="G24" s="7"/>
      <c r="H24" s="356">
        <f>Nitrogen</f>
        <v>0.59</v>
      </c>
      <c r="I24" s="7"/>
      <c r="J24" s="20">
        <f>D24*H24</f>
        <v>47.199999999999996</v>
      </c>
    </row>
    <row r="25" spans="1:33" x14ac:dyDescent="0.2">
      <c r="A25" s="40"/>
      <c r="B25" s="55" t="s">
        <v>399</v>
      </c>
      <c r="C25" s="7"/>
      <c r="D25" s="361">
        <v>15</v>
      </c>
      <c r="E25" s="7"/>
      <c r="F25" s="19" t="s">
        <v>189</v>
      </c>
      <c r="G25" s="7"/>
      <c r="H25" s="356">
        <f>Phosphorous</f>
        <v>0.71</v>
      </c>
      <c r="I25" s="7"/>
      <c r="J25" s="16">
        <f>D25*H25</f>
        <v>10.649999999999999</v>
      </c>
    </row>
    <row r="26" spans="1:33" x14ac:dyDescent="0.2">
      <c r="A26" s="40"/>
      <c r="B26" s="55" t="s">
        <v>419</v>
      </c>
      <c r="C26" s="7"/>
      <c r="D26" s="361">
        <v>20</v>
      </c>
      <c r="E26" s="7"/>
      <c r="F26" s="19" t="s">
        <v>189</v>
      </c>
      <c r="G26" s="7"/>
      <c r="H26" s="356">
        <f>Potassium</f>
        <v>0.31</v>
      </c>
      <c r="I26" s="7"/>
      <c r="J26" s="16">
        <f>D26*H26</f>
        <v>6.2</v>
      </c>
    </row>
    <row r="27" spans="1:33" x14ac:dyDescent="0.2">
      <c r="A27" s="40"/>
      <c r="B27" s="55" t="s">
        <v>418</v>
      </c>
      <c r="C27" s="7"/>
      <c r="D27" s="361">
        <v>10</v>
      </c>
      <c r="E27" s="7"/>
      <c r="F27" s="19" t="s">
        <v>189</v>
      </c>
      <c r="G27" s="7"/>
      <c r="H27" s="356">
        <f>Sulfur</f>
        <v>0.53</v>
      </c>
      <c r="I27" s="7"/>
      <c r="J27" s="20">
        <f>D27*H27</f>
        <v>5.3000000000000007</v>
      </c>
    </row>
    <row r="28" spans="1:33" ht="5.0999999999999996" customHeight="1" x14ac:dyDescent="0.2">
      <c r="A28" s="40"/>
      <c r="B28" s="7"/>
      <c r="C28" s="7"/>
      <c r="D28" s="44"/>
      <c r="E28" s="7"/>
      <c r="F28" s="8"/>
      <c r="G28" s="7"/>
      <c r="H28" s="61"/>
      <c r="I28" s="7"/>
      <c r="J28" s="20"/>
    </row>
    <row r="29" spans="1:33" x14ac:dyDescent="0.2">
      <c r="A29" s="40"/>
      <c r="B29" s="52" t="s">
        <v>181</v>
      </c>
      <c r="C29" s="7"/>
      <c r="D29" s="44"/>
      <c r="E29" s="7"/>
      <c r="F29" s="8"/>
      <c r="G29" s="7"/>
      <c r="H29" s="61"/>
      <c r="I29" s="7"/>
      <c r="J29" s="324">
        <f>SUM(J33:J40)</f>
        <v>27.894000000000002</v>
      </c>
    </row>
    <row r="30" spans="1:33" s="50" customFormat="1" x14ac:dyDescent="0.2">
      <c r="A30" s="68"/>
      <c r="B30" s="315" t="s">
        <v>346</v>
      </c>
      <c r="C30" s="69"/>
      <c r="D30" s="75"/>
      <c r="E30" s="69"/>
      <c r="F30" s="70"/>
      <c r="G30" s="69"/>
      <c r="H30" s="316"/>
      <c r="I30" s="69"/>
      <c r="J30" s="319"/>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347</v>
      </c>
      <c r="C31" s="69"/>
      <c r="D31" s="75"/>
      <c r="E31" s="69"/>
      <c r="F31" s="70"/>
      <c r="G31" s="69"/>
      <c r="H31" s="316"/>
      <c r="I31" s="69"/>
      <c r="J31" s="319"/>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5" t="s">
        <v>348</v>
      </c>
      <c r="C32" s="69"/>
      <c r="D32" s="75"/>
      <c r="E32" s="69"/>
      <c r="F32" s="70"/>
      <c r="G32" s="69"/>
      <c r="H32" s="316"/>
      <c r="I32" s="69"/>
      <c r="J32" s="319"/>
      <c r="L32" s="68"/>
      <c r="M32" s="68"/>
      <c r="N32" s="68"/>
      <c r="O32" s="68"/>
      <c r="P32" s="68"/>
      <c r="Q32" s="68"/>
      <c r="R32" s="68"/>
      <c r="S32" s="68"/>
      <c r="T32" s="68"/>
      <c r="U32" s="68"/>
      <c r="V32" s="68"/>
      <c r="W32" s="68"/>
      <c r="X32" s="68"/>
      <c r="Y32" s="68"/>
      <c r="Z32" s="68"/>
      <c r="AA32" s="68"/>
      <c r="AB32" s="68"/>
      <c r="AC32" s="68"/>
      <c r="AD32" s="68"/>
      <c r="AE32" s="68"/>
      <c r="AF32" s="68"/>
      <c r="AG32" s="68"/>
    </row>
    <row r="33" spans="1:14" x14ac:dyDescent="0.2">
      <c r="A33" s="40"/>
      <c r="B33" s="18" t="s">
        <v>276</v>
      </c>
      <c r="C33" s="7"/>
      <c r="D33" s="369">
        <v>24</v>
      </c>
      <c r="E33" s="7"/>
      <c r="F33" s="19" t="s">
        <v>191</v>
      </c>
      <c r="G33" s="7"/>
      <c r="H33" s="356">
        <f>Glyphosphate</f>
        <v>0.18</v>
      </c>
      <c r="I33" s="7"/>
      <c r="J33" s="20">
        <f t="shared" ref="J33:J40" si="0">D33*H33</f>
        <v>4.32</v>
      </c>
    </row>
    <row r="34" spans="1:14" x14ac:dyDescent="0.2">
      <c r="A34" s="40"/>
      <c r="B34" s="18" t="s">
        <v>277</v>
      </c>
      <c r="C34" s="7"/>
      <c r="D34" s="369">
        <v>6.4</v>
      </c>
      <c r="E34" s="7"/>
      <c r="F34" s="19" t="s">
        <v>191</v>
      </c>
      <c r="G34" s="7"/>
      <c r="H34" s="356">
        <f>surf</f>
        <v>0.23</v>
      </c>
      <c r="I34" s="7"/>
      <c r="J34" s="20">
        <f t="shared" si="0"/>
        <v>1.4720000000000002</v>
      </c>
    </row>
    <row r="35" spans="1:14" x14ac:dyDescent="0.2">
      <c r="A35" s="40"/>
      <c r="B35" s="18" t="s">
        <v>162</v>
      </c>
      <c r="C35" s="7"/>
      <c r="D35" s="369">
        <v>1.7</v>
      </c>
      <c r="E35" s="7"/>
      <c r="F35" s="19" t="s">
        <v>189</v>
      </c>
      <c r="G35" s="7"/>
      <c r="H35" s="356">
        <f>AmmoniaS</f>
        <v>0.22</v>
      </c>
      <c r="I35" s="7"/>
      <c r="J35" s="20">
        <f t="shared" si="0"/>
        <v>0.374</v>
      </c>
    </row>
    <row r="36" spans="1:14" x14ac:dyDescent="0.2">
      <c r="A36" s="40"/>
      <c r="B36" s="55" t="s">
        <v>134</v>
      </c>
      <c r="C36" s="7"/>
      <c r="D36" s="369">
        <v>8.1999999999999993</v>
      </c>
      <c r="E36" s="7"/>
      <c r="F36" s="19" t="s">
        <v>191</v>
      </c>
      <c r="G36" s="7"/>
      <c r="H36" s="356">
        <f>Axial</f>
        <v>1.39</v>
      </c>
      <c r="I36" s="7"/>
      <c r="J36" s="20">
        <f t="shared" si="0"/>
        <v>11.397999999999998</v>
      </c>
    </row>
    <row r="37" spans="1:14" x14ac:dyDescent="0.2">
      <c r="A37" s="40"/>
      <c r="B37" s="55" t="s">
        <v>135</v>
      </c>
      <c r="C37" s="7"/>
      <c r="D37" s="369">
        <v>12</v>
      </c>
      <c r="E37" s="7"/>
      <c r="F37" s="19" t="s">
        <v>191</v>
      </c>
      <c r="G37" s="7"/>
      <c r="H37" s="356">
        <f>BroxM</f>
        <v>0.38</v>
      </c>
      <c r="I37" s="7"/>
      <c r="J37" s="20">
        <f t="shared" si="0"/>
        <v>4.5600000000000005</v>
      </c>
    </row>
    <row r="38" spans="1:14" x14ac:dyDescent="0.2">
      <c r="A38" s="40"/>
      <c r="B38" s="55" t="s">
        <v>126</v>
      </c>
      <c r="C38" s="7"/>
      <c r="D38" s="369">
        <v>8</v>
      </c>
      <c r="E38" s="7"/>
      <c r="F38" s="19" t="s">
        <v>191</v>
      </c>
      <c r="G38" s="7"/>
      <c r="H38" s="356">
        <f>Starane</f>
        <v>0.67</v>
      </c>
      <c r="I38" s="7"/>
      <c r="J38" s="20">
        <f t="shared" si="0"/>
        <v>5.36</v>
      </c>
    </row>
    <row r="39" spans="1:14" x14ac:dyDescent="0.2">
      <c r="A39" s="40"/>
      <c r="B39" s="55" t="s">
        <v>93</v>
      </c>
      <c r="C39" s="7"/>
      <c r="D39" s="369">
        <v>5</v>
      </c>
      <c r="E39" s="7"/>
      <c r="F39" s="19" t="s">
        <v>191</v>
      </c>
      <c r="G39" s="7"/>
      <c r="H39" s="356">
        <f>InPlace</f>
        <v>0.05</v>
      </c>
      <c r="I39" s="7"/>
      <c r="J39" s="20">
        <f t="shared" si="0"/>
        <v>0.25</v>
      </c>
    </row>
    <row r="40" spans="1:14" x14ac:dyDescent="0.2">
      <c r="A40" s="40"/>
      <c r="B40" s="55" t="s">
        <v>162</v>
      </c>
      <c r="C40" s="7"/>
      <c r="D40" s="369">
        <v>3.2</v>
      </c>
      <c r="E40" s="7"/>
      <c r="F40" s="19" t="s">
        <v>191</v>
      </c>
      <c r="G40" s="7"/>
      <c r="H40" s="356">
        <f>AmmSulfLiq</f>
        <v>0.05</v>
      </c>
      <c r="I40" s="7"/>
      <c r="J40" s="20">
        <f t="shared" si="0"/>
        <v>0.16000000000000003</v>
      </c>
    </row>
    <row r="41" spans="1:14" ht="2.25" customHeight="1" x14ac:dyDescent="0.2">
      <c r="A41" s="40"/>
      <c r="B41" s="7"/>
      <c r="C41" s="7"/>
      <c r="D41" s="369"/>
      <c r="E41" s="7"/>
      <c r="F41" s="8"/>
      <c r="G41" s="7"/>
      <c r="H41" s="61"/>
      <c r="I41" s="7"/>
      <c r="J41" s="20"/>
    </row>
    <row r="42" spans="1:14" x14ac:dyDescent="0.2">
      <c r="A42" s="40"/>
      <c r="B42" s="52" t="s">
        <v>149</v>
      </c>
      <c r="C42" s="7"/>
      <c r="D42" s="44"/>
      <c r="E42" s="7"/>
      <c r="F42" s="8"/>
      <c r="G42" s="7"/>
      <c r="H42" s="61"/>
      <c r="I42" s="7"/>
      <c r="J42" s="324">
        <f>SUM(J43:J43)</f>
        <v>12.46</v>
      </c>
    </row>
    <row r="43" spans="1:14" ht="14.25" x14ac:dyDescent="0.2">
      <c r="A43" s="40"/>
      <c r="B43" s="155" t="s">
        <v>60</v>
      </c>
      <c r="C43" s="7"/>
      <c r="D43" s="369">
        <v>7</v>
      </c>
      <c r="E43" s="7"/>
      <c r="F43" s="19" t="s">
        <v>191</v>
      </c>
      <c r="G43" s="7"/>
      <c r="H43" s="356">
        <f>Quilt</f>
        <v>1.78</v>
      </c>
      <c r="I43" s="7"/>
      <c r="J43" s="20">
        <f>D43*H43</f>
        <v>12.46</v>
      </c>
    </row>
    <row r="44" spans="1:14" x14ac:dyDescent="0.2">
      <c r="A44" s="40"/>
      <c r="B44" s="18" t="s">
        <v>59</v>
      </c>
      <c r="C44" s="7"/>
      <c r="D44" s="369">
        <v>0.5</v>
      </c>
      <c r="E44" s="7"/>
      <c r="F44" s="19" t="s">
        <v>278</v>
      </c>
      <c r="G44" s="7"/>
      <c r="H44" s="356">
        <f>Syltac</f>
        <v>6.25</v>
      </c>
      <c r="I44" s="7"/>
      <c r="J44" s="20">
        <f>D44*H44</f>
        <v>3.125</v>
      </c>
      <c r="N44" s="42"/>
    </row>
    <row r="45" spans="1:14" ht="2.25" customHeight="1" x14ac:dyDescent="0.2">
      <c r="A45" s="40"/>
      <c r="B45" s="7"/>
      <c r="C45" s="7"/>
      <c r="D45" s="59"/>
      <c r="E45" s="7"/>
      <c r="F45" s="8"/>
      <c r="G45" s="7"/>
      <c r="H45" s="61"/>
      <c r="I45" s="7"/>
      <c r="J45" s="20"/>
    </row>
    <row r="46" spans="1:14" x14ac:dyDescent="0.2">
      <c r="A46" s="40"/>
      <c r="B46" s="52" t="s">
        <v>50</v>
      </c>
      <c r="C46" s="7"/>
      <c r="D46" s="73"/>
      <c r="E46" s="7"/>
      <c r="F46" s="8"/>
      <c r="G46" s="7"/>
      <c r="H46" s="61"/>
      <c r="I46" s="7"/>
      <c r="J46" s="324">
        <f>SUM(J47:J50)</f>
        <v>51.664236302371179</v>
      </c>
    </row>
    <row r="47" spans="1:14" x14ac:dyDescent="0.2">
      <c r="A47" s="40"/>
      <c r="B47" s="33" t="s">
        <v>284</v>
      </c>
      <c r="C47" s="7"/>
      <c r="D47" s="371">
        <f>'Machinery Costs'!$M$103</f>
        <v>10.345915492957745</v>
      </c>
      <c r="E47" s="7"/>
      <c r="F47" s="19" t="s">
        <v>286</v>
      </c>
      <c r="G47" s="7"/>
      <c r="H47" s="356">
        <f>Diesel</f>
        <v>2</v>
      </c>
      <c r="I47" s="7"/>
      <c r="J47" s="20">
        <f>D47*H47</f>
        <v>20.691830985915491</v>
      </c>
    </row>
    <row r="48" spans="1:14" x14ac:dyDescent="0.2">
      <c r="A48" s="40"/>
      <c r="B48" s="33" t="s">
        <v>285</v>
      </c>
      <c r="C48" s="7"/>
      <c r="D48" s="43">
        <v>1</v>
      </c>
      <c r="E48" s="7"/>
      <c r="F48" s="19" t="s">
        <v>190</v>
      </c>
      <c r="G48" s="7"/>
      <c r="H48" s="354">
        <f>'Machinery Costs'!$I$103</f>
        <v>3.2109999999999999</v>
      </c>
      <c r="I48" s="7"/>
      <c r="J48" s="20">
        <f>D48*H48</f>
        <v>3.2109999999999999</v>
      </c>
    </row>
    <row r="49" spans="1:10" x14ac:dyDescent="0.2">
      <c r="A49" s="40"/>
      <c r="B49" s="33" t="s">
        <v>91</v>
      </c>
      <c r="C49" s="7"/>
      <c r="D49" s="43">
        <v>1</v>
      </c>
      <c r="E49" s="7"/>
      <c r="F49" s="19" t="s">
        <v>190</v>
      </c>
      <c r="G49" s="7"/>
      <c r="H49" s="354">
        <f>'Machinery Costs'!$G$103</f>
        <v>7.968</v>
      </c>
      <c r="I49" s="7"/>
      <c r="J49" s="20">
        <f>D49*H49</f>
        <v>7.968</v>
      </c>
    </row>
    <row r="50" spans="1:10" x14ac:dyDescent="0.2">
      <c r="A50" s="40"/>
      <c r="B50" s="33" t="s">
        <v>173</v>
      </c>
      <c r="C50" s="7"/>
      <c r="D50" s="371">
        <f>'Machinery Costs'!$L$103</f>
        <v>0.98967026582278472</v>
      </c>
      <c r="E50" s="7"/>
      <c r="F50" s="312" t="s">
        <v>184</v>
      </c>
      <c r="G50" s="7"/>
      <c r="H50" s="356">
        <f>Labor</f>
        <v>20</v>
      </c>
      <c r="I50" s="7"/>
      <c r="J50" s="20">
        <f>D50*H50</f>
        <v>19.793405316455694</v>
      </c>
    </row>
    <row r="51" spans="1:10" ht="2.25" customHeight="1" x14ac:dyDescent="0.2">
      <c r="A51" s="40"/>
      <c r="B51" s="7"/>
      <c r="C51" s="7"/>
      <c r="D51" s="44"/>
      <c r="E51" s="7"/>
      <c r="F51" s="8"/>
      <c r="G51" s="7"/>
      <c r="H51" s="61"/>
      <c r="I51" s="7"/>
      <c r="J51" s="20"/>
    </row>
    <row r="52" spans="1:10" x14ac:dyDescent="0.2">
      <c r="A52" s="40"/>
      <c r="B52" s="52" t="s">
        <v>152</v>
      </c>
      <c r="C52" s="7"/>
      <c r="D52" s="73"/>
      <c r="E52" s="7"/>
      <c r="F52" s="8"/>
      <c r="G52" s="7"/>
      <c r="H52" s="61"/>
      <c r="I52" s="7"/>
      <c r="J52" s="324">
        <f>SUM(J53:J55)</f>
        <v>6.9749999999999996</v>
      </c>
    </row>
    <row r="53" spans="1:10" x14ac:dyDescent="0.2">
      <c r="A53" s="40"/>
      <c r="B53" s="18" t="s">
        <v>261</v>
      </c>
      <c r="C53" s="7"/>
      <c r="D53" s="369">
        <v>0</v>
      </c>
      <c r="E53" s="7"/>
      <c r="F53" s="19" t="s">
        <v>190</v>
      </c>
      <c r="G53" s="7"/>
      <c r="H53" s="356">
        <f>Sprayer</f>
        <v>2</v>
      </c>
      <c r="I53" s="7"/>
      <c r="J53" s="20">
        <f>D53*H53</f>
        <v>0</v>
      </c>
    </row>
    <row r="54" spans="1:10" x14ac:dyDescent="0.2">
      <c r="A54" s="40"/>
      <c r="B54" s="18" t="s">
        <v>207</v>
      </c>
      <c r="C54" s="7"/>
      <c r="D54" s="369">
        <v>0.5</v>
      </c>
      <c r="E54" s="7"/>
      <c r="F54" s="19" t="s">
        <v>190</v>
      </c>
      <c r="G54" s="7"/>
      <c r="H54" s="356">
        <f>Aerial</f>
        <v>8.9499999999999993</v>
      </c>
      <c r="I54" s="7"/>
      <c r="J54" s="20">
        <f>D54*H54</f>
        <v>4.4749999999999996</v>
      </c>
    </row>
    <row r="55" spans="1:10" x14ac:dyDescent="0.2">
      <c r="A55" s="40"/>
      <c r="B55" s="18" t="s">
        <v>195</v>
      </c>
      <c r="C55" s="7"/>
      <c r="D55" s="369">
        <v>1</v>
      </c>
      <c r="E55" s="7"/>
      <c r="F55" s="19" t="s">
        <v>190</v>
      </c>
      <c r="G55" s="7"/>
      <c r="H55" s="356">
        <f>Shooter</f>
        <v>2.5</v>
      </c>
      <c r="I55" s="7"/>
      <c r="J55" s="20">
        <f>D55*H55</f>
        <v>2.5</v>
      </c>
    </row>
    <row r="56" spans="1:10" ht="3" customHeight="1" x14ac:dyDescent="0.2">
      <c r="A56" s="40"/>
      <c r="B56" s="7"/>
      <c r="C56" s="7"/>
      <c r="D56" s="44"/>
      <c r="E56" s="7"/>
      <c r="F56" s="8"/>
      <c r="G56" s="7"/>
      <c r="H56" s="61"/>
      <c r="I56" s="7"/>
      <c r="J56" s="20"/>
    </row>
    <row r="57" spans="1:10" x14ac:dyDescent="0.2">
      <c r="A57" s="40"/>
      <c r="B57" s="52" t="s">
        <v>153</v>
      </c>
      <c r="C57" s="7"/>
      <c r="D57" s="44"/>
      <c r="E57" s="7"/>
      <c r="F57" s="8"/>
      <c r="G57" s="7"/>
      <c r="H57" s="61"/>
      <c r="I57" s="7"/>
      <c r="J57" s="324">
        <f>SUM(J58:J60)</f>
        <v>16</v>
      </c>
    </row>
    <row r="58" spans="1:10" x14ac:dyDescent="0.2">
      <c r="A58" s="40"/>
      <c r="B58" s="18" t="s">
        <v>192</v>
      </c>
      <c r="C58" s="7"/>
      <c r="D58" s="43">
        <v>1</v>
      </c>
      <c r="E58" s="7"/>
      <c r="F58" s="19" t="s">
        <v>190</v>
      </c>
      <c r="G58" s="7"/>
      <c r="H58" s="370">
        <f>CISSW</f>
        <v>16</v>
      </c>
      <c r="I58" s="7"/>
      <c r="J58" s="20">
        <f>D58*H58</f>
        <v>16</v>
      </c>
    </row>
    <row r="59" spans="1:10" x14ac:dyDescent="0.2">
      <c r="A59" s="40"/>
      <c r="B59" s="33" t="s">
        <v>172</v>
      </c>
      <c r="C59" s="7"/>
      <c r="D59" s="43"/>
      <c r="E59" s="7"/>
      <c r="F59" s="19"/>
      <c r="G59" s="7"/>
      <c r="H59" s="45"/>
      <c r="I59" s="7"/>
      <c r="J59" s="20">
        <f>D59*H59</f>
        <v>0</v>
      </c>
    </row>
    <row r="60" spans="1:10" x14ac:dyDescent="0.2">
      <c r="A60" s="40"/>
      <c r="B60" s="33" t="s">
        <v>240</v>
      </c>
      <c r="C60" s="7"/>
      <c r="D60" s="193"/>
      <c r="E60" s="7"/>
      <c r="F60" s="19"/>
      <c r="G60" s="7"/>
      <c r="H60" s="45"/>
      <c r="I60" s="7"/>
      <c r="J60" s="20"/>
    </row>
    <row r="61" spans="1:10" ht="5.0999999999999996" customHeight="1" x14ac:dyDescent="0.2">
      <c r="A61" s="40"/>
      <c r="B61" s="7"/>
      <c r="C61" s="7"/>
      <c r="D61" s="44"/>
      <c r="E61" s="7"/>
      <c r="F61" s="8"/>
      <c r="G61" s="7"/>
      <c r="H61" s="44"/>
      <c r="I61" s="7"/>
      <c r="J61" s="20"/>
    </row>
    <row r="62" spans="1:10" ht="14.25" x14ac:dyDescent="0.2">
      <c r="A62" s="40"/>
      <c r="B62" s="69" t="s">
        <v>51</v>
      </c>
      <c r="C62" s="7"/>
      <c r="D62" s="44"/>
      <c r="E62" s="7"/>
      <c r="F62" s="8"/>
      <c r="G62" s="7"/>
      <c r="H62" s="44"/>
      <c r="I62" s="7"/>
      <c r="J62" s="20">
        <f>+(J18+J21+J29+J42+J46+J52+J57)*operloan*0.5</f>
        <v>5.8978680436931707</v>
      </c>
    </row>
    <row r="63" spans="1:10" ht="5.25" customHeight="1" x14ac:dyDescent="0.2">
      <c r="A63" s="40"/>
      <c r="B63" s="7"/>
      <c r="C63" s="7"/>
      <c r="D63" s="44"/>
      <c r="E63" s="7"/>
      <c r="F63" s="8"/>
      <c r="G63" s="7"/>
      <c r="H63" s="44"/>
      <c r="I63" s="7"/>
      <c r="J63" s="20"/>
    </row>
    <row r="64" spans="1:10" x14ac:dyDescent="0.2">
      <c r="A64" s="40"/>
      <c r="B64" s="52" t="s">
        <v>232</v>
      </c>
      <c r="C64" s="52"/>
      <c r="D64" s="65"/>
      <c r="E64" s="52"/>
      <c r="F64" s="53"/>
      <c r="G64" s="52"/>
      <c r="H64" s="65"/>
      <c r="I64" s="52"/>
      <c r="J64" s="54">
        <f>SUM(J18:J62)-(J18+J21+J29+J42+J46+J52+J57)</f>
        <v>214.16610434606443</v>
      </c>
    </row>
    <row r="65" spans="1:33" x14ac:dyDescent="0.2">
      <c r="A65" s="40"/>
      <c r="B65" s="7" t="s">
        <v>233</v>
      </c>
      <c r="C65" s="7"/>
      <c r="D65" s="44"/>
      <c r="E65" s="7"/>
      <c r="F65" s="8"/>
      <c r="G65" s="7"/>
      <c r="H65" s="44"/>
      <c r="I65" s="7"/>
      <c r="J65" s="20">
        <f>J64/D14</f>
        <v>3.8939291699284442</v>
      </c>
    </row>
    <row r="66" spans="1:33" ht="5.25" customHeight="1" x14ac:dyDescent="0.2">
      <c r="A66" s="40"/>
      <c r="B66" s="7"/>
      <c r="C66" s="7"/>
      <c r="D66" s="44"/>
      <c r="E66" s="7"/>
      <c r="F66" s="8"/>
      <c r="G66" s="7"/>
      <c r="H66" s="44"/>
      <c r="I66" s="7"/>
      <c r="J66" s="20"/>
    </row>
    <row r="67" spans="1:33" s="47" customFormat="1" x14ac:dyDescent="0.2">
      <c r="A67" s="46"/>
      <c r="B67" s="62" t="s">
        <v>234</v>
      </c>
      <c r="C67" s="62"/>
      <c r="D67" s="63"/>
      <c r="E67" s="62"/>
      <c r="F67" s="64"/>
      <c r="G67" s="62"/>
      <c r="H67" s="63"/>
      <c r="I67" s="62"/>
      <c r="J67" s="96">
        <f>J14-J64</f>
        <v>-15.616104346064446</v>
      </c>
      <c r="L67" s="46"/>
      <c r="M67" s="46"/>
      <c r="N67" s="46"/>
      <c r="O67" s="46"/>
      <c r="P67" s="46"/>
      <c r="Q67" s="46"/>
      <c r="R67" s="46"/>
      <c r="S67" s="46"/>
      <c r="T67" s="46"/>
      <c r="U67" s="46"/>
      <c r="V67" s="46"/>
      <c r="W67" s="46"/>
      <c r="X67" s="46"/>
      <c r="Y67" s="46"/>
      <c r="Z67" s="46"/>
      <c r="AA67" s="46"/>
      <c r="AB67" s="46"/>
      <c r="AC67" s="46"/>
      <c r="AD67" s="46"/>
      <c r="AE67" s="46"/>
      <c r="AF67" s="46"/>
      <c r="AG67" s="46"/>
    </row>
    <row r="68" spans="1:33" ht="24.75" customHeight="1" x14ac:dyDescent="0.2">
      <c r="A68" s="40"/>
      <c r="B68" s="6" t="s">
        <v>325</v>
      </c>
      <c r="C68" s="7"/>
      <c r="D68" s="44"/>
      <c r="E68" s="7"/>
      <c r="F68" s="8"/>
      <c r="G68" s="7"/>
      <c r="H68" s="44"/>
      <c r="I68" s="7"/>
      <c r="J68" s="20"/>
    </row>
    <row r="69" spans="1:33" x14ac:dyDescent="0.2">
      <c r="A69" s="40"/>
      <c r="B69" s="570" t="s">
        <v>485</v>
      </c>
      <c r="C69" s="570"/>
      <c r="D69" s="570"/>
      <c r="E69" s="7"/>
      <c r="F69" s="19" t="s">
        <v>190</v>
      </c>
      <c r="G69" s="7"/>
      <c r="H69" s="354">
        <f>'Machinery Costs'!$C$103</f>
        <v>15.219999999999999</v>
      </c>
      <c r="I69" s="7"/>
      <c r="J69" s="20">
        <f>H69</f>
        <v>15.219999999999999</v>
      </c>
    </row>
    <row r="70" spans="1:33" x14ac:dyDescent="0.2">
      <c r="A70" s="40"/>
      <c r="B70" s="570" t="s">
        <v>486</v>
      </c>
      <c r="C70" s="570"/>
      <c r="D70" s="570"/>
      <c r="E70" s="7"/>
      <c r="F70" s="19" t="s">
        <v>190</v>
      </c>
      <c r="G70" s="7"/>
      <c r="H70" s="354">
        <f>'Machinery Costs'!$D$103</f>
        <v>11.461</v>
      </c>
      <c r="I70" s="7"/>
      <c r="J70" s="20">
        <f>H70</f>
        <v>11.461</v>
      </c>
    </row>
    <row r="71" spans="1:33" x14ac:dyDescent="0.2">
      <c r="A71" s="40"/>
      <c r="B71" s="570" t="s">
        <v>487</v>
      </c>
      <c r="C71" s="570"/>
      <c r="D71" s="570"/>
      <c r="E71" s="7"/>
      <c r="F71" s="19" t="s">
        <v>190</v>
      </c>
      <c r="G71" s="7"/>
      <c r="H71" s="354">
        <f>'Machinery Costs'!$E$103</f>
        <v>4.9529999999999985</v>
      </c>
      <c r="I71" s="7"/>
      <c r="J71" s="20">
        <f>H71</f>
        <v>4.9529999999999985</v>
      </c>
    </row>
    <row r="72" spans="1:33" x14ac:dyDescent="0.2">
      <c r="A72" s="40"/>
      <c r="B72" s="18" t="s">
        <v>266</v>
      </c>
      <c r="C72" s="7"/>
      <c r="D72" s="8"/>
      <c r="E72" s="7"/>
      <c r="F72" s="19" t="s">
        <v>190</v>
      </c>
      <c r="G72" s="7"/>
      <c r="H72" s="79">
        <f>ROUND((D14*H14)*D74-(J21+J29+J42+H58)*D74, 0)</f>
        <v>24</v>
      </c>
      <c r="I72" s="7"/>
      <c r="J72" s="20">
        <f>+H72</f>
        <v>24</v>
      </c>
    </row>
    <row r="73" spans="1:33" ht="12.75" customHeight="1" x14ac:dyDescent="0.2">
      <c r="A73" s="40"/>
      <c r="B73" s="7" t="s">
        <v>267</v>
      </c>
      <c r="C73" s="7"/>
      <c r="D73" s="44"/>
      <c r="E73" s="7"/>
      <c r="F73" s="8"/>
      <c r="G73" s="7"/>
      <c r="H73" s="93"/>
      <c r="I73" s="7"/>
      <c r="J73" s="20"/>
    </row>
    <row r="74" spans="1:33" ht="12.75" customHeight="1" x14ac:dyDescent="0.2">
      <c r="A74" s="40"/>
      <c r="B74" s="7" t="s">
        <v>268</v>
      </c>
      <c r="C74" s="7"/>
      <c r="D74" s="372">
        <f>OwnerShare</f>
        <v>0.33</v>
      </c>
      <c r="E74" s="7"/>
      <c r="F74" s="8"/>
      <c r="G74" s="7"/>
      <c r="H74" s="61"/>
      <c r="I74" s="7"/>
      <c r="J74" s="20"/>
    </row>
    <row r="75" spans="1:33" ht="12.75" customHeight="1" x14ac:dyDescent="0.2">
      <c r="A75" s="40"/>
      <c r="B75" s="7" t="s">
        <v>269</v>
      </c>
      <c r="C75" s="7"/>
      <c r="D75" s="372">
        <f>OperShare</f>
        <v>0.67</v>
      </c>
      <c r="E75" s="7"/>
      <c r="F75" s="8"/>
      <c r="G75" s="7"/>
      <c r="H75" s="61"/>
      <c r="I75" s="7"/>
      <c r="J75" s="20"/>
    </row>
    <row r="76" spans="1:33" x14ac:dyDescent="0.2">
      <c r="A76" s="40"/>
      <c r="B76" s="51"/>
      <c r="C76" s="51"/>
      <c r="D76" s="74"/>
      <c r="E76" s="51"/>
      <c r="F76" s="74"/>
      <c r="G76" s="7"/>
      <c r="H76" s="44"/>
      <c r="I76" s="7"/>
      <c r="J76" s="20"/>
    </row>
    <row r="77" spans="1:33" ht="14.25" x14ac:dyDescent="0.2">
      <c r="A77" s="40"/>
      <c r="B77" s="147" t="s">
        <v>334</v>
      </c>
      <c r="C77" s="7"/>
      <c r="D77" s="44"/>
      <c r="E77" s="7"/>
      <c r="F77" s="8"/>
      <c r="G77" s="7"/>
      <c r="H77" s="44"/>
      <c r="I77" s="7"/>
      <c r="J77" s="20">
        <f>ROUND((J18+J21+J29+J42+J46+J52+J57)*0.05, 0)</f>
        <v>10</v>
      </c>
    </row>
    <row r="78" spans="1:33" ht="14.25" x14ac:dyDescent="0.2">
      <c r="A78" s="197"/>
      <c r="B78" s="147" t="s">
        <v>335</v>
      </c>
      <c r="C78" s="94"/>
      <c r="D78" s="59"/>
      <c r="E78" s="7"/>
      <c r="F78" s="8"/>
      <c r="G78" s="7"/>
      <c r="H78" s="44"/>
      <c r="I78" s="7"/>
      <c r="J78" s="20">
        <f>ROUND(($J$14)*MF, 0)</f>
        <v>10</v>
      </c>
      <c r="K78" s="197"/>
      <c r="L78" s="197"/>
      <c r="M78" s="197"/>
      <c r="N78" s="197"/>
      <c r="O78" s="197"/>
      <c r="P78" s="197"/>
      <c r="Q78" s="197"/>
      <c r="R78" s="197"/>
      <c r="S78" s="197"/>
      <c r="T78" s="197"/>
      <c r="U78" s="197"/>
      <c r="V78" s="197"/>
      <c r="W78" s="197"/>
      <c r="X78" s="197"/>
      <c r="Y78" s="197"/>
      <c r="Z78" s="197"/>
      <c r="AA78" s="197"/>
      <c r="AB78" s="197"/>
      <c r="AC78" s="197"/>
      <c r="AD78" s="197"/>
      <c r="AE78" s="197"/>
      <c r="AF78" s="197"/>
      <c r="AG78"/>
    </row>
    <row r="79" spans="1:33" ht="5.25" customHeight="1" x14ac:dyDescent="0.2">
      <c r="A79" s="40"/>
      <c r="B79" s="7"/>
      <c r="C79" s="7"/>
      <c r="D79" s="44"/>
      <c r="E79" s="7"/>
      <c r="F79" s="8"/>
      <c r="G79" s="7"/>
      <c r="H79" s="44"/>
      <c r="I79" s="7"/>
      <c r="J79" s="20"/>
    </row>
    <row r="80" spans="1:33" x14ac:dyDescent="0.2">
      <c r="A80" s="40"/>
      <c r="B80" s="52" t="s">
        <v>230</v>
      </c>
      <c r="C80" s="52"/>
      <c r="D80" s="65"/>
      <c r="E80" s="52"/>
      <c r="F80" s="53"/>
      <c r="G80" s="52"/>
      <c r="H80" s="65"/>
      <c r="I80" s="52"/>
      <c r="J80" s="54">
        <f>SUM(J68:J78)</f>
        <v>75.634</v>
      </c>
    </row>
    <row r="81" spans="1:33" x14ac:dyDescent="0.2">
      <c r="A81" s="40"/>
      <c r="B81" s="7" t="s">
        <v>231</v>
      </c>
      <c r="C81" s="7"/>
      <c r="D81" s="44"/>
      <c r="E81" s="7"/>
      <c r="F81" s="8"/>
      <c r="G81" s="7"/>
      <c r="H81" s="44"/>
      <c r="I81" s="7"/>
      <c r="J81" s="20">
        <f>J80/D14</f>
        <v>1.3751636363636364</v>
      </c>
    </row>
    <row r="82" spans="1:33" x14ac:dyDescent="0.2">
      <c r="A82" s="40"/>
      <c r="B82" s="7"/>
      <c r="C82" s="7"/>
      <c r="D82" s="44"/>
      <c r="E82" s="7"/>
      <c r="F82" s="8"/>
      <c r="G82" s="7"/>
      <c r="H82" s="44"/>
      <c r="I82" s="7"/>
      <c r="J82" s="20"/>
    </row>
    <row r="83" spans="1:33" x14ac:dyDescent="0.2">
      <c r="A83" s="40"/>
      <c r="B83" s="52" t="s">
        <v>94</v>
      </c>
      <c r="C83" s="52"/>
      <c r="D83" s="65"/>
      <c r="E83" s="52"/>
      <c r="F83" s="53"/>
      <c r="G83" s="52"/>
      <c r="H83" s="65"/>
      <c r="I83" s="52"/>
      <c r="J83" s="54">
        <f>J64+J80</f>
        <v>289.80010434606442</v>
      </c>
    </row>
    <row r="84" spans="1:33" s="50" customFormat="1" x14ac:dyDescent="0.2">
      <c r="A84" s="68"/>
      <c r="B84" s="69" t="s">
        <v>95</v>
      </c>
      <c r="C84" s="69"/>
      <c r="D84" s="75"/>
      <c r="E84" s="69"/>
      <c r="F84" s="70"/>
      <c r="G84" s="69"/>
      <c r="H84" s="75"/>
      <c r="I84" s="69"/>
      <c r="J84" s="71">
        <f>J83/D14</f>
        <v>5.2690928062920799</v>
      </c>
      <c r="L84" s="68"/>
      <c r="M84" s="68"/>
      <c r="N84" s="68"/>
      <c r="O84" s="68"/>
      <c r="P84" s="68"/>
      <c r="Q84" s="68"/>
      <c r="R84" s="68"/>
      <c r="S84" s="68"/>
      <c r="T84" s="68"/>
      <c r="U84" s="68"/>
      <c r="V84" s="68"/>
      <c r="W84" s="68"/>
      <c r="X84" s="68"/>
      <c r="Y84" s="68"/>
      <c r="Z84" s="68"/>
      <c r="AA84" s="68"/>
      <c r="AB84" s="68"/>
      <c r="AC84" s="68"/>
      <c r="AD84" s="68"/>
      <c r="AE84" s="68"/>
      <c r="AF84" s="68"/>
      <c r="AG84" s="68"/>
    </row>
    <row r="85" spans="1:33" x14ac:dyDescent="0.2">
      <c r="A85" s="40"/>
      <c r="B85" s="7"/>
      <c r="C85" s="7"/>
      <c r="D85" s="44"/>
      <c r="E85" s="7"/>
      <c r="F85" s="8"/>
      <c r="G85" s="7"/>
      <c r="H85" s="44"/>
      <c r="I85" s="7"/>
      <c r="J85" s="20"/>
    </row>
    <row r="86" spans="1:33" s="47" customFormat="1" x14ac:dyDescent="0.2">
      <c r="A86" s="46"/>
      <c r="B86" s="52" t="s">
        <v>96</v>
      </c>
      <c r="C86" s="52"/>
      <c r="D86" s="65"/>
      <c r="E86" s="52"/>
      <c r="F86" s="53"/>
      <c r="G86" s="52"/>
      <c r="H86" s="65"/>
      <c r="I86" s="52"/>
      <c r="J86" s="54">
        <f>J14-J83</f>
        <v>-91.250104346064433</v>
      </c>
      <c r="L86" s="46"/>
      <c r="M86" s="46"/>
      <c r="N86" s="46"/>
      <c r="O86" s="46"/>
      <c r="P86" s="46"/>
      <c r="Q86" s="46"/>
      <c r="R86" s="46"/>
      <c r="S86" s="46"/>
      <c r="T86" s="46"/>
      <c r="U86" s="46"/>
      <c r="V86" s="46"/>
      <c r="W86" s="46"/>
      <c r="X86" s="46"/>
      <c r="Y86" s="46"/>
      <c r="Z86" s="46"/>
      <c r="AA86" s="46"/>
      <c r="AB86" s="46"/>
      <c r="AC86" s="46"/>
      <c r="AD86" s="46"/>
      <c r="AE86" s="46"/>
      <c r="AF86" s="46"/>
      <c r="AG86" s="46"/>
    </row>
    <row r="87" spans="1:33" x14ac:dyDescent="0.2">
      <c r="A87" s="40"/>
      <c r="B87" s="3"/>
      <c r="C87" s="3"/>
      <c r="D87" s="2"/>
      <c r="E87" s="3"/>
      <c r="F87" s="4"/>
      <c r="G87" s="3"/>
      <c r="H87" s="2"/>
      <c r="I87" s="3"/>
      <c r="J87" s="5"/>
      <c r="K87" s="1"/>
    </row>
    <row r="88" spans="1:33" x14ac:dyDescent="0.2">
      <c r="A88" s="40"/>
      <c r="B88" s="56" t="s">
        <v>97</v>
      </c>
      <c r="C88" s="56"/>
      <c r="D88" s="76"/>
      <c r="E88" s="56"/>
      <c r="F88" s="57"/>
      <c r="G88" s="56"/>
      <c r="H88" s="76"/>
      <c r="I88" s="56"/>
      <c r="J88" s="56"/>
      <c r="K88" s="14"/>
    </row>
    <row r="89" spans="1:33" ht="15" customHeight="1" x14ac:dyDescent="0.2">
      <c r="A89" s="40"/>
      <c r="B89" s="563" t="s">
        <v>0</v>
      </c>
      <c r="C89" s="577"/>
      <c r="D89" s="577"/>
      <c r="E89" s="577"/>
      <c r="F89" s="577"/>
      <c r="G89" s="577"/>
      <c r="H89" s="577"/>
      <c r="I89" s="577"/>
      <c r="J89" s="577"/>
      <c r="K89" s="14"/>
    </row>
    <row r="90" spans="1:33" s="457" customFormat="1" ht="15.6" customHeight="1" x14ac:dyDescent="0.2">
      <c r="B90" s="563" t="s">
        <v>467</v>
      </c>
      <c r="C90" s="563"/>
      <c r="D90" s="563"/>
      <c r="E90" s="563"/>
      <c r="F90" s="563"/>
      <c r="G90" s="563"/>
      <c r="H90" s="563"/>
      <c r="I90" s="563"/>
      <c r="J90" s="563"/>
    </row>
    <row r="91" spans="1:33" s="197" customFormat="1" ht="16.5" customHeight="1" x14ac:dyDescent="0.2">
      <c r="B91" s="568" t="s">
        <v>340</v>
      </c>
      <c r="C91" s="563"/>
      <c r="D91" s="563"/>
      <c r="E91" s="563"/>
      <c r="F91" s="563"/>
      <c r="G91" s="563"/>
      <c r="H91" s="563"/>
      <c r="I91" s="563"/>
      <c r="J91" s="563"/>
    </row>
    <row r="92" spans="1:33" s="197" customFormat="1" ht="30" customHeight="1" x14ac:dyDescent="0.2">
      <c r="B92" s="568" t="s">
        <v>341</v>
      </c>
      <c r="C92" s="569"/>
      <c r="D92" s="569"/>
      <c r="E92" s="569"/>
      <c r="F92" s="569"/>
      <c r="G92" s="569"/>
      <c r="H92" s="569"/>
      <c r="I92" s="569"/>
      <c r="J92" s="569"/>
    </row>
    <row r="93" spans="1:33" x14ac:dyDescent="0.2">
      <c r="A93" s="40"/>
      <c r="B93" s="7"/>
      <c r="C93" s="7"/>
      <c r="D93" s="44"/>
      <c r="E93" s="7"/>
      <c r="F93" s="8"/>
      <c r="G93" s="7"/>
      <c r="H93" s="44"/>
      <c r="I93" s="7"/>
      <c r="J93" s="7"/>
    </row>
    <row r="94" spans="1:33" x14ac:dyDescent="0.2">
      <c r="A94" s="40"/>
      <c r="B94" s="22" t="s">
        <v>98</v>
      </c>
      <c r="C94" s="7"/>
      <c r="D94" s="23" t="s">
        <v>99</v>
      </c>
      <c r="E94" s="7"/>
      <c r="F94" s="8"/>
      <c r="G94" s="7"/>
      <c r="H94" s="23" t="s">
        <v>101</v>
      </c>
      <c r="I94" s="7"/>
      <c r="J94" s="7"/>
    </row>
    <row r="95" spans="1:33" x14ac:dyDescent="0.2">
      <c r="A95" s="40"/>
      <c r="B95" s="7"/>
      <c r="C95" s="7"/>
      <c r="D95" s="24">
        <v>0.1</v>
      </c>
      <c r="E95" s="7"/>
      <c r="F95" s="8" t="s">
        <v>100</v>
      </c>
      <c r="G95" s="7"/>
      <c r="H95" s="24">
        <v>0.1</v>
      </c>
      <c r="I95" s="7"/>
      <c r="J95" s="7"/>
    </row>
    <row r="96" spans="1:33" x14ac:dyDescent="0.2">
      <c r="A96" s="40"/>
      <c r="B96" s="7"/>
      <c r="C96" s="7"/>
      <c r="D96" s="25"/>
      <c r="E96" s="3"/>
      <c r="F96" s="2" t="s">
        <v>102</v>
      </c>
      <c r="G96" s="3"/>
      <c r="H96" s="25"/>
      <c r="I96" s="7"/>
      <c r="J96" s="7"/>
    </row>
    <row r="97" spans="1:10" x14ac:dyDescent="0.2">
      <c r="A97" s="40"/>
      <c r="B97" s="26" t="s">
        <v>169</v>
      </c>
      <c r="C97" s="7"/>
      <c r="D97" s="148">
        <f>F97*(1-D95)</f>
        <v>49.5</v>
      </c>
      <c r="E97" s="27"/>
      <c r="F97" s="28">
        <f>D14</f>
        <v>55</v>
      </c>
      <c r="G97" s="27"/>
      <c r="H97" s="148">
        <f>F97*(1+H95)</f>
        <v>60.500000000000007</v>
      </c>
      <c r="I97" s="7"/>
      <c r="J97" s="7"/>
    </row>
    <row r="98" spans="1:10" ht="4.5" customHeight="1" x14ac:dyDescent="0.2">
      <c r="A98" s="40"/>
      <c r="B98" s="7"/>
      <c r="C98" s="7"/>
      <c r="D98" s="44"/>
      <c r="E98" s="7"/>
      <c r="F98" s="8"/>
      <c r="G98" s="7"/>
      <c r="H98" s="44"/>
      <c r="I98" s="7"/>
      <c r="J98" s="7"/>
    </row>
    <row r="99" spans="1:10" x14ac:dyDescent="0.2">
      <c r="A99" s="40"/>
      <c r="B99" s="7" t="s">
        <v>170</v>
      </c>
      <c r="C99" s="7"/>
      <c r="D99" s="29">
        <f>$J$64/D97</f>
        <v>4.3265879665871605</v>
      </c>
      <c r="E99" s="7"/>
      <c r="F99" s="29">
        <f>$J$64/F97</f>
        <v>3.8939291699284442</v>
      </c>
      <c r="G99" s="7"/>
      <c r="H99" s="29">
        <f>$J$64/H97</f>
        <v>3.539935609025858</v>
      </c>
      <c r="I99" s="7"/>
      <c r="J99" s="7"/>
    </row>
    <row r="100" spans="1:10" ht="4.5" customHeight="1" x14ac:dyDescent="0.2">
      <c r="A100" s="40"/>
      <c r="B100" s="7"/>
      <c r="C100" s="7"/>
      <c r="D100" s="44"/>
      <c r="E100" s="7"/>
      <c r="F100" s="8"/>
      <c r="G100" s="7"/>
      <c r="H100" s="44"/>
      <c r="I100" s="7"/>
      <c r="J100" s="7"/>
    </row>
    <row r="101" spans="1:10" x14ac:dyDescent="0.2">
      <c r="A101" s="40"/>
      <c r="B101" s="7" t="s">
        <v>171</v>
      </c>
      <c r="C101" s="7"/>
      <c r="D101" s="29">
        <f>$J$80/D97</f>
        <v>1.527959595959596</v>
      </c>
      <c r="E101" s="7"/>
      <c r="F101" s="29">
        <f>$J$80/F97</f>
        <v>1.3751636363636364</v>
      </c>
      <c r="G101" s="7"/>
      <c r="H101" s="29">
        <f>$J$80/H97</f>
        <v>1.2501487603305783</v>
      </c>
      <c r="I101" s="7"/>
      <c r="J101" s="7"/>
    </row>
    <row r="102" spans="1:10" ht="3.75" customHeight="1" x14ac:dyDescent="0.2">
      <c r="A102" s="40"/>
      <c r="B102" s="7"/>
      <c r="C102" s="7"/>
      <c r="D102" s="44"/>
      <c r="E102" s="7"/>
      <c r="F102" s="8"/>
      <c r="G102" s="7"/>
      <c r="H102" s="44"/>
      <c r="I102" s="7"/>
      <c r="J102" s="7"/>
    </row>
    <row r="103" spans="1:10" x14ac:dyDescent="0.2">
      <c r="A103" s="40"/>
      <c r="B103" s="7" t="s">
        <v>188</v>
      </c>
      <c r="C103" s="7"/>
      <c r="D103" s="29">
        <f>$J$83/D97</f>
        <v>5.854547562546756</v>
      </c>
      <c r="E103" s="7"/>
      <c r="F103" s="29">
        <f>$J$83/F97</f>
        <v>5.2690928062920799</v>
      </c>
      <c r="G103" s="7"/>
      <c r="H103" s="29">
        <f>$J$83/H97</f>
        <v>4.7900843693564363</v>
      </c>
      <c r="I103" s="7"/>
      <c r="J103" s="7"/>
    </row>
    <row r="104" spans="1:10" ht="10.5" customHeight="1" x14ac:dyDescent="0.2">
      <c r="A104" s="40"/>
      <c r="B104" s="11"/>
      <c r="C104" s="11"/>
      <c r="D104" s="72"/>
      <c r="E104" s="11"/>
      <c r="F104" s="15"/>
      <c r="G104" s="11"/>
      <c r="H104" s="72"/>
      <c r="I104" s="11"/>
      <c r="J104" s="11"/>
    </row>
    <row r="105" spans="1:10" ht="10.5" customHeight="1" x14ac:dyDescent="0.2">
      <c r="A105" s="40"/>
      <c r="B105" s="11"/>
      <c r="C105" s="11"/>
      <c r="D105" s="23" t="s">
        <v>99</v>
      </c>
      <c r="E105" s="7"/>
      <c r="F105" s="15"/>
      <c r="G105" s="7"/>
      <c r="H105" s="23" t="s">
        <v>101</v>
      </c>
      <c r="I105" s="11"/>
      <c r="J105" s="11"/>
    </row>
    <row r="106" spans="1:10" x14ac:dyDescent="0.2">
      <c r="A106" s="40"/>
      <c r="B106" s="7"/>
      <c r="C106" s="7"/>
      <c r="D106" s="24">
        <v>0.1</v>
      </c>
      <c r="E106" s="7"/>
      <c r="F106" s="8" t="s">
        <v>100</v>
      </c>
      <c r="G106" s="7"/>
      <c r="H106" s="24">
        <v>0.1</v>
      </c>
      <c r="I106" s="7"/>
      <c r="J106" s="7"/>
    </row>
    <row r="107" spans="1:10" x14ac:dyDescent="0.2">
      <c r="A107" s="40"/>
      <c r="B107" s="7"/>
      <c r="C107" s="7"/>
      <c r="D107" s="2"/>
      <c r="E107" s="3"/>
      <c r="F107" s="4" t="s">
        <v>169</v>
      </c>
      <c r="G107" s="3"/>
      <c r="H107" s="2"/>
      <c r="I107" s="7"/>
      <c r="J107" s="7"/>
    </row>
    <row r="108" spans="1:10" x14ac:dyDescent="0.2">
      <c r="A108" s="40"/>
      <c r="B108" s="26" t="s">
        <v>102</v>
      </c>
      <c r="C108" s="7"/>
      <c r="D108" s="30">
        <f>F108*(1-D95)</f>
        <v>3.2490000000000001</v>
      </c>
      <c r="E108" s="27"/>
      <c r="F108" s="31">
        <f>H14</f>
        <v>3.61</v>
      </c>
      <c r="G108" s="27"/>
      <c r="H108" s="30">
        <f>F108*(1+H95)</f>
        <v>3.9710000000000001</v>
      </c>
      <c r="I108" s="7"/>
      <c r="J108" s="7"/>
    </row>
    <row r="109" spans="1:10" ht="4.5" customHeight="1" x14ac:dyDescent="0.2">
      <c r="A109" s="40"/>
      <c r="B109" s="7"/>
      <c r="C109" s="7"/>
      <c r="D109" s="44"/>
      <c r="E109" s="7"/>
      <c r="F109" s="8"/>
      <c r="G109" s="7"/>
      <c r="H109" s="44"/>
      <c r="I109" s="7"/>
      <c r="J109" s="7"/>
    </row>
    <row r="110" spans="1:10" x14ac:dyDescent="0.2">
      <c r="A110" s="40"/>
      <c r="B110" s="7" t="s">
        <v>170</v>
      </c>
      <c r="C110" s="7"/>
      <c r="D110" s="32">
        <f>$J$64/D108</f>
        <v>65.917545197311298</v>
      </c>
      <c r="E110" s="7"/>
      <c r="F110" s="32">
        <f>$J$64/F108</f>
        <v>59.325790677580173</v>
      </c>
      <c r="G110" s="7"/>
      <c r="H110" s="32">
        <f>$J$64/H108</f>
        <v>53.932536979618341</v>
      </c>
      <c r="I110" s="7"/>
      <c r="J110" s="7"/>
    </row>
    <row r="111" spans="1:10" ht="3" customHeight="1" x14ac:dyDescent="0.2">
      <c r="A111" s="40"/>
      <c r="B111" s="7"/>
      <c r="C111" s="7"/>
      <c r="D111" s="44"/>
      <c r="E111" s="7"/>
      <c r="F111" s="8"/>
      <c r="G111" s="7"/>
      <c r="H111" s="44"/>
      <c r="I111" s="7"/>
      <c r="J111" s="7"/>
    </row>
    <row r="112" spans="1:10" x14ac:dyDescent="0.2">
      <c r="A112" s="40"/>
      <c r="B112" s="7" t="s">
        <v>171</v>
      </c>
      <c r="C112" s="7"/>
      <c r="D112" s="32">
        <f>$J$80/D108</f>
        <v>23.279162819329024</v>
      </c>
      <c r="E112" s="7"/>
      <c r="F112" s="32">
        <f>$J$80/F108</f>
        <v>20.951246537396123</v>
      </c>
      <c r="G112" s="7"/>
      <c r="H112" s="32">
        <f>$J$80/H108</f>
        <v>19.046587761269201</v>
      </c>
      <c r="I112" s="7"/>
      <c r="J112" s="7"/>
    </row>
    <row r="113" spans="1:10" ht="3.75" customHeight="1" x14ac:dyDescent="0.2">
      <c r="A113" s="40"/>
      <c r="B113" s="7"/>
      <c r="C113" s="7"/>
      <c r="D113" s="44"/>
      <c r="E113" s="7"/>
      <c r="F113" s="8"/>
      <c r="G113" s="7"/>
      <c r="H113" s="44"/>
      <c r="I113" s="7"/>
      <c r="J113" s="7"/>
    </row>
    <row r="114" spans="1:10" x14ac:dyDescent="0.2">
      <c r="A114" s="40"/>
      <c r="B114" s="7" t="s">
        <v>188</v>
      </c>
      <c r="C114" s="7"/>
      <c r="D114" s="32">
        <f>$J$83/D108</f>
        <v>89.196708016640315</v>
      </c>
      <c r="E114" s="7"/>
      <c r="F114" s="32">
        <f>$J$83/F108</f>
        <v>80.277037214976289</v>
      </c>
      <c r="G114" s="7"/>
      <c r="H114" s="32">
        <f>$J$83/H108</f>
        <v>72.979124740887542</v>
      </c>
      <c r="I114" s="7"/>
      <c r="J114" s="7"/>
    </row>
    <row r="115" spans="1:10" ht="5.25" hidden="1" customHeight="1" x14ac:dyDescent="0.2">
      <c r="A115" s="40"/>
      <c r="B115" s="7"/>
      <c r="C115" s="7"/>
      <c r="D115" s="44"/>
      <c r="E115" s="7"/>
      <c r="F115" s="8"/>
      <c r="G115" s="7"/>
      <c r="H115" s="44"/>
      <c r="I115" s="7"/>
      <c r="J115" s="7"/>
    </row>
    <row r="116" spans="1:10" x14ac:dyDescent="0.2">
      <c r="A116" s="40"/>
      <c r="B116" s="3"/>
      <c r="C116" s="3"/>
      <c r="D116" s="2"/>
      <c r="E116" s="3"/>
      <c r="F116" s="4"/>
      <c r="G116" s="3"/>
      <c r="H116" s="2"/>
      <c r="I116" s="3"/>
      <c r="J116" s="3"/>
    </row>
    <row r="117" spans="1:10" s="40" customFormat="1" x14ac:dyDescent="0.2">
      <c r="D117" s="58"/>
      <c r="F117" s="41"/>
      <c r="H117" s="58"/>
    </row>
    <row r="118" spans="1:10" s="40" customFormat="1" x14ac:dyDescent="0.2">
      <c r="D118" s="58"/>
      <c r="F118" s="41"/>
      <c r="H118" s="58"/>
    </row>
    <row r="119" spans="1:10" s="40" customFormat="1" x14ac:dyDescent="0.2">
      <c r="D119" s="58"/>
      <c r="F119" s="41"/>
      <c r="H119" s="58"/>
    </row>
    <row r="120" spans="1:10" s="40" customFormat="1" x14ac:dyDescent="0.2">
      <c r="D120" s="58"/>
      <c r="F120" s="41"/>
      <c r="H120" s="58"/>
    </row>
    <row r="121" spans="1:10" s="40" customFormat="1" x14ac:dyDescent="0.2">
      <c r="D121" s="58"/>
      <c r="F121" s="41"/>
      <c r="H121" s="58"/>
    </row>
    <row r="122" spans="1:10" s="40" customFormat="1" x14ac:dyDescent="0.2">
      <c r="D122" s="58"/>
      <c r="F122" s="41"/>
      <c r="H122" s="58"/>
    </row>
    <row r="123" spans="1:10" s="40" customFormat="1" x14ac:dyDescent="0.2">
      <c r="D123" s="58"/>
      <c r="F123" s="41"/>
      <c r="H123" s="58"/>
    </row>
    <row r="124" spans="1:10" s="40" customFormat="1" x14ac:dyDescent="0.2">
      <c r="D124" s="58"/>
      <c r="F124" s="41"/>
      <c r="H124" s="58"/>
    </row>
    <row r="125" spans="1:10" s="40" customFormat="1" x14ac:dyDescent="0.2">
      <c r="D125" s="58"/>
      <c r="F125" s="41"/>
      <c r="H125" s="58"/>
    </row>
    <row r="126" spans="1:10" s="40" customFormat="1" x14ac:dyDescent="0.2">
      <c r="D126" s="58"/>
      <c r="F126" s="41"/>
      <c r="H126" s="58"/>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sheetData>
  <customSheetViews>
    <customSheetView guid="{5519EDA0-AC19-11DC-BDFC-0017F2D6B148}" showPageBreaks="1" hiddenColumns="1" view="pageLayout">
      <selection activeCell="J1" sqref="J1:K1"/>
      <pageMargins left="0.25" right="0.25" top="0.25" bottom="1" header="0.5" footer="0.5"/>
      <pageSetup paperSize="0" orientation="portrait" horizontalDpi="4294967292" verticalDpi="4294967292"/>
      <headerFooter alignWithMargins="0"/>
    </customSheetView>
  </customSheetViews>
  <mergeCells count="11">
    <mergeCell ref="M1:Q1"/>
    <mergeCell ref="B3:J3"/>
    <mergeCell ref="B6:J6"/>
    <mergeCell ref="B92:J92"/>
    <mergeCell ref="B8:J8"/>
    <mergeCell ref="B89:J89"/>
    <mergeCell ref="B90:J90"/>
    <mergeCell ref="B91:J91"/>
    <mergeCell ref="B69:D69"/>
    <mergeCell ref="B70:D70"/>
    <mergeCell ref="B71:D71"/>
  </mergeCells>
  <phoneticPr fontId="7"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7" min="1" max="9" man="1"/>
  </rowBreaks>
  <ignoredErrors>
    <ignoredError sqref="J59 J42"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zoomScaleNormal="100" workbookViewId="0">
      <selection activeCell="B3" sqref="B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45.42578125" customWidth="1"/>
    <col min="6" max="11" width="11.42578125" style="40" customWidth="1"/>
  </cols>
  <sheetData>
    <row r="1" spans="2:5" ht="15" customHeight="1" x14ac:dyDescent="0.2">
      <c r="B1" s="40"/>
      <c r="C1" s="40"/>
      <c r="D1" s="40"/>
      <c r="E1" s="40"/>
    </row>
    <row r="2" spans="2:5" ht="30" customHeight="1" x14ac:dyDescent="0.25">
      <c r="B2" s="571" t="s">
        <v>524</v>
      </c>
      <c r="C2" s="578"/>
      <c r="D2" s="578"/>
      <c r="E2" s="578"/>
    </row>
    <row r="3" spans="2:5" ht="6" customHeight="1" x14ac:dyDescent="0.25">
      <c r="B3" s="180"/>
      <c r="C3" s="175"/>
      <c r="D3" s="175"/>
      <c r="E3" s="175"/>
    </row>
    <row r="4" spans="2:5" ht="33" customHeight="1" x14ac:dyDescent="0.2">
      <c r="B4" s="176" t="s">
        <v>287</v>
      </c>
      <c r="C4" s="176" t="s">
        <v>289</v>
      </c>
      <c r="D4" s="176" t="s">
        <v>291</v>
      </c>
      <c r="E4" s="176" t="s">
        <v>292</v>
      </c>
    </row>
    <row r="5" spans="2:5" x14ac:dyDescent="0.2">
      <c r="B5" s="38"/>
      <c r="C5" s="38"/>
      <c r="D5" s="38"/>
      <c r="E5" s="326" t="s">
        <v>451</v>
      </c>
    </row>
    <row r="6" spans="2:5" x14ac:dyDescent="0.2">
      <c r="B6" s="5" t="s">
        <v>290</v>
      </c>
      <c r="C6" s="5" t="s">
        <v>131</v>
      </c>
      <c r="D6" s="90" t="s">
        <v>449</v>
      </c>
      <c r="E6" s="5" t="s">
        <v>174</v>
      </c>
    </row>
    <row r="7" spans="2:5" x14ac:dyDescent="0.2">
      <c r="B7" s="36"/>
      <c r="C7" s="36"/>
      <c r="D7" s="36" t="s">
        <v>25</v>
      </c>
      <c r="E7" s="36"/>
    </row>
    <row r="8" spans="2:5" x14ac:dyDescent="0.2">
      <c r="B8" s="37" t="s">
        <v>154</v>
      </c>
      <c r="C8" s="37" t="s">
        <v>260</v>
      </c>
      <c r="D8" s="37" t="s">
        <v>272</v>
      </c>
      <c r="E8" s="37"/>
    </row>
    <row r="9" spans="2:5" x14ac:dyDescent="0.2">
      <c r="B9" s="38"/>
      <c r="C9" s="38"/>
      <c r="D9" s="38"/>
      <c r="E9" s="38" t="s">
        <v>179</v>
      </c>
    </row>
    <row r="10" spans="2:5" x14ac:dyDescent="0.2">
      <c r="B10" s="5" t="s">
        <v>154</v>
      </c>
      <c r="C10" s="5" t="s">
        <v>229</v>
      </c>
      <c r="D10" s="5" t="s">
        <v>23</v>
      </c>
      <c r="E10" s="5" t="s">
        <v>116</v>
      </c>
    </row>
    <row r="11" spans="2:5" x14ac:dyDescent="0.2">
      <c r="B11" s="67"/>
      <c r="C11" s="67"/>
      <c r="D11" s="67" t="s">
        <v>24</v>
      </c>
      <c r="E11" s="67"/>
    </row>
    <row r="12" spans="2:5" x14ac:dyDescent="0.2">
      <c r="B12" s="67" t="s">
        <v>154</v>
      </c>
      <c r="C12" s="67" t="s">
        <v>117</v>
      </c>
      <c r="D12" s="67" t="s">
        <v>272</v>
      </c>
      <c r="E12" s="67"/>
    </row>
    <row r="13" spans="2:5" x14ac:dyDescent="0.2">
      <c r="B13" s="38"/>
      <c r="C13" s="38"/>
      <c r="D13" s="38"/>
      <c r="E13" s="38"/>
    </row>
    <row r="14" spans="2:5" x14ac:dyDescent="0.2">
      <c r="B14" s="5" t="s">
        <v>275</v>
      </c>
      <c r="C14" s="5" t="s">
        <v>241</v>
      </c>
      <c r="D14" s="5" t="s">
        <v>62</v>
      </c>
      <c r="E14" s="5" t="s">
        <v>342</v>
      </c>
    </row>
    <row r="15" spans="2:5" x14ac:dyDescent="0.2">
      <c r="B15" s="39"/>
      <c r="C15" s="39"/>
      <c r="D15" s="39"/>
      <c r="E15" s="39"/>
    </row>
    <row r="16" spans="2:5" x14ac:dyDescent="0.2">
      <c r="B16" s="3" t="s">
        <v>275</v>
      </c>
      <c r="C16" s="3" t="s">
        <v>155</v>
      </c>
      <c r="D16" s="3"/>
      <c r="E16" s="3"/>
    </row>
    <row r="17" spans="2:5" x14ac:dyDescent="0.2">
      <c r="B17" s="38"/>
      <c r="C17" s="38"/>
      <c r="D17" s="38"/>
      <c r="E17" s="326" t="s">
        <v>455</v>
      </c>
    </row>
    <row r="18" spans="2:5" x14ac:dyDescent="0.2">
      <c r="B18" s="5" t="s">
        <v>275</v>
      </c>
      <c r="C18" s="5" t="s">
        <v>131</v>
      </c>
      <c r="D18" s="90" t="s">
        <v>449</v>
      </c>
      <c r="E18" s="5" t="s">
        <v>175</v>
      </c>
    </row>
    <row r="19" spans="2:5" x14ac:dyDescent="0.2">
      <c r="B19" s="39"/>
      <c r="C19" s="39"/>
      <c r="D19" s="39"/>
      <c r="E19" s="39"/>
    </row>
    <row r="20" spans="2:5" x14ac:dyDescent="0.2">
      <c r="B20" s="3" t="s">
        <v>213</v>
      </c>
      <c r="C20" s="3" t="s">
        <v>57</v>
      </c>
      <c r="D20" s="3" t="s">
        <v>119</v>
      </c>
      <c r="E20" s="438" t="s">
        <v>457</v>
      </c>
    </row>
    <row r="21" spans="2:5" ht="12" customHeight="1" x14ac:dyDescent="0.2">
      <c r="B21" s="38"/>
      <c r="C21" s="38"/>
      <c r="D21" s="38"/>
      <c r="E21" s="38"/>
    </row>
    <row r="22" spans="2:5" ht="12" customHeight="1" x14ac:dyDescent="0.2">
      <c r="B22" s="5" t="s">
        <v>288</v>
      </c>
      <c r="C22" s="5" t="s">
        <v>293</v>
      </c>
      <c r="D22" s="5" t="s">
        <v>28</v>
      </c>
      <c r="E22" s="5"/>
    </row>
    <row r="23" spans="2:5" x14ac:dyDescent="0.2">
      <c r="B23" s="156" t="s">
        <v>58</v>
      </c>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sheetData>
  <customSheetViews>
    <customSheetView guid="{5519EDA0-AC19-11DC-BDFC-0017F2D6B148}" showPageBreaks="1" view="pageLayout">
      <selection activeCell="D31" sqref="D31"/>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87" orientation="portrait" r:id="rId1"/>
  <headerFooter alignWithMargins="0">
    <oddFooter>&amp;L&amp;A&amp;C               &amp;F&amp;R&amp;D</oddFooter>
  </headerFooter>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8"/>
  <sheetViews>
    <sheetView topLeftCell="A92" zoomScaleNormal="100" workbookViewId="0">
      <selection activeCell="B100" sqref="B100"/>
    </sheetView>
  </sheetViews>
  <sheetFormatPr defaultColWidth="8.7109375" defaultRowHeight="12.75" x14ac:dyDescent="0.2"/>
  <cols>
    <col min="1" max="1" width="3.140625" customWidth="1"/>
    <col min="2" max="2" width="28.28515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ht="9.75" customHeight="1" x14ac:dyDescent="0.2">
      <c r="A7" s="40"/>
      <c r="B7" s="40"/>
      <c r="C7" s="40"/>
      <c r="D7" s="58"/>
      <c r="E7" s="40"/>
      <c r="F7" s="41"/>
      <c r="G7" s="40"/>
      <c r="H7" s="58"/>
      <c r="I7" s="40"/>
      <c r="J7" s="40"/>
    </row>
    <row r="8" spans="1:44" s="92" customFormat="1" ht="31.5" customHeight="1" x14ac:dyDescent="0.25">
      <c r="A8" s="91"/>
      <c r="B8" s="576" t="s">
        <v>525</v>
      </c>
      <c r="C8" s="572"/>
      <c r="D8" s="572"/>
      <c r="E8" s="572"/>
      <c r="F8" s="572"/>
      <c r="G8" s="572"/>
      <c r="H8" s="572"/>
      <c r="I8" s="572"/>
      <c r="J8" s="572"/>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249</v>
      </c>
      <c r="E10" s="83"/>
      <c r="F10" s="84"/>
      <c r="G10" s="83"/>
      <c r="H10" s="83" t="s">
        <v>250</v>
      </c>
      <c r="I10" s="83"/>
      <c r="J10" s="85"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252</v>
      </c>
      <c r="C11" s="220"/>
      <c r="D11" s="87" t="s">
        <v>156</v>
      </c>
      <c r="E11" s="87"/>
      <c r="F11" s="221" t="s">
        <v>157</v>
      </c>
      <c r="G11" s="87"/>
      <c r="H11" s="87" t="s">
        <v>5</v>
      </c>
      <c r="I11" s="87"/>
      <c r="J11" s="222"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199</v>
      </c>
      <c r="C13" s="7"/>
      <c r="D13" s="44"/>
      <c r="E13" s="7"/>
      <c r="F13" s="8"/>
      <c r="G13" s="7"/>
      <c r="H13" s="44"/>
      <c r="I13" s="7"/>
      <c r="J13" s="9"/>
    </row>
    <row r="14" spans="1:44" x14ac:dyDescent="0.2">
      <c r="A14" s="40"/>
      <c r="B14" s="10" t="s">
        <v>238</v>
      </c>
      <c r="C14" s="11"/>
      <c r="D14" s="363">
        <f>yhrsw</f>
        <v>58</v>
      </c>
      <c r="E14" s="11"/>
      <c r="F14" s="12" t="s">
        <v>256</v>
      </c>
      <c r="G14" s="11"/>
      <c r="H14" s="364">
        <f>Summary!$E$18</f>
        <v>4.72</v>
      </c>
      <c r="I14" s="11"/>
      <c r="J14" s="13">
        <f>D14*H14</f>
        <v>273.76</v>
      </c>
      <c r="K14" s="14"/>
      <c r="M14" s="48"/>
      <c r="N14" s="48"/>
      <c r="O14" s="48"/>
      <c r="P14" s="48"/>
      <c r="Q14" s="48"/>
    </row>
    <row r="15" spans="1:44" ht="4.5" customHeight="1" x14ac:dyDescent="0.2">
      <c r="A15" s="40"/>
      <c r="B15" s="11"/>
      <c r="C15" s="11"/>
      <c r="D15" s="72"/>
      <c r="E15" s="11"/>
      <c r="F15" s="15"/>
      <c r="G15" s="11"/>
      <c r="H15" s="77"/>
      <c r="I15" s="11"/>
      <c r="J15" s="13"/>
      <c r="K15" s="14"/>
    </row>
    <row r="16" spans="1:44" x14ac:dyDescent="0.2">
      <c r="A16" s="40"/>
      <c r="B16" s="6" t="s">
        <v>167</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200</v>
      </c>
      <c r="C18" s="7"/>
      <c r="D18" s="66"/>
      <c r="E18" s="7"/>
      <c r="F18" s="8"/>
      <c r="G18" s="7"/>
      <c r="H18" s="61"/>
      <c r="I18" s="7"/>
      <c r="J18" s="17">
        <f>SUM(J19:J19)</f>
        <v>30</v>
      </c>
    </row>
    <row r="19" spans="1:33" x14ac:dyDescent="0.2">
      <c r="A19" s="40"/>
      <c r="B19" s="18" t="s">
        <v>239</v>
      </c>
      <c r="C19" s="7"/>
      <c r="D19" s="361">
        <v>100</v>
      </c>
      <c r="E19" s="7"/>
      <c r="F19" s="19" t="s">
        <v>189</v>
      </c>
      <c r="G19" s="7"/>
      <c r="H19" s="356">
        <f>DNSSd</f>
        <v>0.3</v>
      </c>
      <c r="I19" s="7"/>
      <c r="J19" s="16">
        <f>D19*H19</f>
        <v>30</v>
      </c>
    </row>
    <row r="20" spans="1:33" ht="3" customHeight="1" x14ac:dyDescent="0.2">
      <c r="A20" s="40"/>
      <c r="B20" s="7"/>
      <c r="C20" s="7"/>
      <c r="D20" s="44"/>
      <c r="E20" s="7"/>
      <c r="F20" s="8"/>
      <c r="G20" s="7"/>
      <c r="H20" s="61"/>
      <c r="I20" s="7"/>
      <c r="J20" s="16"/>
    </row>
    <row r="21" spans="1:33" x14ac:dyDescent="0.2">
      <c r="A21" s="40"/>
      <c r="B21" s="52" t="s">
        <v>212</v>
      </c>
      <c r="C21" s="7"/>
      <c r="D21" s="44"/>
      <c r="E21" s="7"/>
      <c r="F21" s="8"/>
      <c r="G21" s="7"/>
      <c r="H21" s="61"/>
      <c r="I21" s="7"/>
      <c r="J21" s="17">
        <f>SUM(J24:J27)</f>
        <v>98.85</v>
      </c>
      <c r="M21" s="42"/>
    </row>
    <row r="22" spans="1:33" s="50" customFormat="1" x14ac:dyDescent="0.2">
      <c r="A22" s="68"/>
      <c r="B22" s="315" t="s">
        <v>343</v>
      </c>
      <c r="C22" s="69"/>
      <c r="D22" s="75"/>
      <c r="E22" s="69"/>
      <c r="F22" s="70"/>
      <c r="G22" s="69"/>
      <c r="H22" s="316"/>
      <c r="I22" s="69"/>
      <c r="J22" s="31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417</v>
      </c>
      <c r="C24" s="7"/>
      <c r="D24" s="361">
        <v>130</v>
      </c>
      <c r="E24" s="7"/>
      <c r="F24" s="19" t="s">
        <v>189</v>
      </c>
      <c r="G24" s="7"/>
      <c r="H24" s="356">
        <f>Nitrogen</f>
        <v>0.59</v>
      </c>
      <c r="I24" s="7"/>
      <c r="J24" s="20">
        <f>D24*H24</f>
        <v>76.7</v>
      </c>
    </row>
    <row r="25" spans="1:33" x14ac:dyDescent="0.2">
      <c r="A25" s="40"/>
      <c r="B25" s="55" t="s">
        <v>399</v>
      </c>
      <c r="C25" s="7"/>
      <c r="D25" s="361">
        <v>15</v>
      </c>
      <c r="E25" s="7"/>
      <c r="F25" s="19" t="s">
        <v>189</v>
      </c>
      <c r="G25" s="7"/>
      <c r="H25" s="356">
        <f>Phosphorous</f>
        <v>0.71</v>
      </c>
      <c r="I25" s="7"/>
      <c r="J25" s="16">
        <f>D25*H25</f>
        <v>10.649999999999999</v>
      </c>
    </row>
    <row r="26" spans="1:33" x14ac:dyDescent="0.2">
      <c r="A26" s="40"/>
      <c r="B26" s="55" t="s">
        <v>419</v>
      </c>
      <c r="C26" s="7"/>
      <c r="D26" s="361">
        <v>20</v>
      </c>
      <c r="E26" s="7"/>
      <c r="F26" s="19" t="s">
        <v>189</v>
      </c>
      <c r="G26" s="7"/>
      <c r="H26" s="356">
        <f>Potassium</f>
        <v>0.31</v>
      </c>
      <c r="I26" s="7"/>
      <c r="J26" s="16">
        <f>D26*H26</f>
        <v>6.2</v>
      </c>
    </row>
    <row r="27" spans="1:33" x14ac:dyDescent="0.2">
      <c r="A27" s="40"/>
      <c r="B27" s="55" t="s">
        <v>418</v>
      </c>
      <c r="C27" s="7"/>
      <c r="D27" s="361">
        <v>10</v>
      </c>
      <c r="E27" s="7"/>
      <c r="F27" s="19" t="s">
        <v>189</v>
      </c>
      <c r="G27" s="7"/>
      <c r="H27" s="356">
        <f>Sulfur</f>
        <v>0.53</v>
      </c>
      <c r="I27" s="7"/>
      <c r="J27" s="20">
        <f>D27*H27</f>
        <v>5.3000000000000007</v>
      </c>
    </row>
    <row r="28" spans="1:33" ht="5.0999999999999996" customHeight="1" x14ac:dyDescent="0.2">
      <c r="A28" s="40"/>
      <c r="B28" s="7"/>
      <c r="C28" s="7"/>
      <c r="D28" s="44"/>
      <c r="E28" s="7"/>
      <c r="F28" s="8"/>
      <c r="G28" s="7"/>
      <c r="H28" s="61"/>
      <c r="I28" s="7"/>
      <c r="J28" s="20"/>
    </row>
    <row r="29" spans="1:33" x14ac:dyDescent="0.2">
      <c r="A29" s="40"/>
      <c r="B29" s="52" t="s">
        <v>181</v>
      </c>
      <c r="C29" s="7"/>
      <c r="D29" s="44"/>
      <c r="E29" s="7"/>
      <c r="F29" s="8"/>
      <c r="G29" s="7"/>
      <c r="H29" s="61"/>
      <c r="I29" s="7"/>
      <c r="J29" s="324">
        <f>SUM(J33:J40)</f>
        <v>28.088000000000001</v>
      </c>
    </row>
    <row r="30" spans="1:33" s="50" customFormat="1" x14ac:dyDescent="0.2">
      <c r="A30" s="68"/>
      <c r="B30" s="315" t="s">
        <v>346</v>
      </c>
      <c r="C30" s="69"/>
      <c r="D30" s="75"/>
      <c r="E30" s="69"/>
      <c r="F30" s="70"/>
      <c r="G30" s="69"/>
      <c r="H30" s="316"/>
      <c r="I30" s="69"/>
      <c r="J30" s="319"/>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347</v>
      </c>
      <c r="C31" s="69"/>
      <c r="D31" s="75"/>
      <c r="E31" s="69"/>
      <c r="F31" s="70"/>
      <c r="G31" s="69"/>
      <c r="H31" s="316"/>
      <c r="I31" s="69"/>
      <c r="J31" s="319"/>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5" t="s">
        <v>348</v>
      </c>
      <c r="C32" s="69"/>
      <c r="D32" s="75"/>
      <c r="E32" s="69"/>
      <c r="F32" s="70"/>
      <c r="G32" s="69"/>
      <c r="H32" s="316"/>
      <c r="I32" s="69"/>
      <c r="J32" s="319"/>
      <c r="L32" s="68"/>
      <c r="M32" s="68"/>
      <c r="N32" s="68"/>
      <c r="O32" s="68"/>
      <c r="P32" s="68"/>
      <c r="Q32" s="68"/>
      <c r="R32" s="68"/>
      <c r="S32" s="68"/>
      <c r="T32" s="68"/>
      <c r="U32" s="68"/>
      <c r="V32" s="68"/>
      <c r="W32" s="68"/>
      <c r="X32" s="68"/>
      <c r="Y32" s="68"/>
      <c r="Z32" s="68"/>
      <c r="AA32" s="68"/>
      <c r="AB32" s="68"/>
      <c r="AC32" s="68"/>
      <c r="AD32" s="68"/>
      <c r="AE32" s="68"/>
      <c r="AF32" s="68"/>
      <c r="AG32" s="68"/>
    </row>
    <row r="33" spans="1:10" x14ac:dyDescent="0.2">
      <c r="A33" s="40"/>
      <c r="B33" s="18" t="s">
        <v>276</v>
      </c>
      <c r="C33" s="7"/>
      <c r="D33" s="361">
        <v>24</v>
      </c>
      <c r="E33" s="7"/>
      <c r="F33" s="19" t="s">
        <v>191</v>
      </c>
      <c r="G33" s="7"/>
      <c r="H33" s="356">
        <f>Glyphosphate</f>
        <v>0.18</v>
      </c>
      <c r="I33" s="7"/>
      <c r="J33" s="20">
        <f t="shared" ref="J33:J38" si="0">D33*H33</f>
        <v>4.32</v>
      </c>
    </row>
    <row r="34" spans="1:10" x14ac:dyDescent="0.2">
      <c r="A34" s="40"/>
      <c r="B34" s="18" t="s">
        <v>277</v>
      </c>
      <c r="C34" s="7"/>
      <c r="D34" s="369">
        <v>7.4</v>
      </c>
      <c r="E34" s="7"/>
      <c r="F34" s="19" t="s">
        <v>191</v>
      </c>
      <c r="G34" s="7"/>
      <c r="H34" s="356">
        <f>surf</f>
        <v>0.23</v>
      </c>
      <c r="I34" s="7"/>
      <c r="J34" s="20">
        <f t="shared" si="0"/>
        <v>1.7020000000000002</v>
      </c>
    </row>
    <row r="35" spans="1:10" x14ac:dyDescent="0.2">
      <c r="A35" s="40"/>
      <c r="B35" s="18" t="s">
        <v>162</v>
      </c>
      <c r="C35" s="7"/>
      <c r="D35" s="369">
        <v>3.4</v>
      </c>
      <c r="E35" s="7"/>
      <c r="F35" s="19" t="s">
        <v>189</v>
      </c>
      <c r="G35" s="7"/>
      <c r="H35" s="356">
        <f>AmmoniaS</f>
        <v>0.22</v>
      </c>
      <c r="I35" s="7"/>
      <c r="J35" s="20">
        <f t="shared" si="0"/>
        <v>0.748</v>
      </c>
    </row>
    <row r="36" spans="1:10" x14ac:dyDescent="0.2">
      <c r="A36" s="40"/>
      <c r="B36" s="18" t="s">
        <v>134</v>
      </c>
      <c r="C36" s="7"/>
      <c r="D36" s="369">
        <v>8.1999999999999993</v>
      </c>
      <c r="E36" s="7"/>
      <c r="F36" s="19" t="s">
        <v>191</v>
      </c>
      <c r="G36" s="7"/>
      <c r="H36" s="356">
        <f>Axial</f>
        <v>1.39</v>
      </c>
      <c r="I36" s="7"/>
      <c r="J36" s="20">
        <f t="shared" si="0"/>
        <v>11.397999999999998</v>
      </c>
    </row>
    <row r="37" spans="1:10" x14ac:dyDescent="0.2">
      <c r="A37" s="40"/>
      <c r="B37" s="18" t="s">
        <v>135</v>
      </c>
      <c r="C37" s="7"/>
      <c r="D37" s="361">
        <v>12</v>
      </c>
      <c r="E37" s="7"/>
      <c r="F37" s="19" t="s">
        <v>191</v>
      </c>
      <c r="G37" s="7"/>
      <c r="H37" s="356">
        <f>BroxM</f>
        <v>0.38</v>
      </c>
      <c r="I37" s="7"/>
      <c r="J37" s="20">
        <f t="shared" si="0"/>
        <v>4.5600000000000005</v>
      </c>
    </row>
    <row r="38" spans="1:10" x14ac:dyDescent="0.2">
      <c r="A38" s="40"/>
      <c r="B38" s="18" t="s">
        <v>126</v>
      </c>
      <c r="C38" s="7"/>
      <c r="D38" s="361">
        <v>8</v>
      </c>
      <c r="E38" s="7"/>
      <c r="F38" s="19" t="s">
        <v>191</v>
      </c>
      <c r="G38" s="7"/>
      <c r="H38" s="356">
        <f>Starane</f>
        <v>0.67</v>
      </c>
      <c r="I38" s="7"/>
      <c r="J38" s="20">
        <f t="shared" si="0"/>
        <v>5.36</v>
      </c>
    </row>
    <row r="39" spans="1:10" x14ac:dyDescent="0.2">
      <c r="A39" s="40"/>
      <c r="B39" s="18"/>
      <c r="C39" s="7"/>
      <c r="D39" s="361"/>
      <c r="E39" s="7"/>
      <c r="F39" s="19"/>
      <c r="G39" s="7"/>
      <c r="H39" s="356"/>
      <c r="I39" s="7"/>
      <c r="J39" s="20"/>
    </row>
    <row r="40" spans="1:10" x14ac:dyDescent="0.2">
      <c r="A40" s="40"/>
      <c r="B40" s="18"/>
      <c r="C40" s="7"/>
      <c r="D40" s="369"/>
      <c r="E40" s="7"/>
      <c r="F40" s="19"/>
      <c r="G40" s="7"/>
      <c r="H40" s="356"/>
      <c r="I40" s="7"/>
      <c r="J40" s="20"/>
    </row>
    <row r="41" spans="1:10" ht="5.0999999999999996" customHeight="1" x14ac:dyDescent="0.2">
      <c r="A41" s="40"/>
      <c r="B41" s="7"/>
      <c r="C41" s="7"/>
      <c r="D41" s="44"/>
      <c r="E41" s="7"/>
      <c r="F41" s="8"/>
      <c r="G41" s="7"/>
      <c r="H41" s="61"/>
      <c r="I41" s="7"/>
      <c r="J41" s="20"/>
    </row>
    <row r="42" spans="1:10" x14ac:dyDescent="0.2">
      <c r="A42" s="40"/>
      <c r="B42" s="52" t="s">
        <v>149</v>
      </c>
      <c r="C42" s="7"/>
      <c r="D42" s="44"/>
      <c r="E42" s="7"/>
      <c r="F42" s="8"/>
      <c r="G42" s="7"/>
      <c r="H42" s="61"/>
      <c r="I42" s="7"/>
      <c r="J42" s="324">
        <f>SUM(J43:J44)</f>
        <v>16.200000000000003</v>
      </c>
    </row>
    <row r="43" spans="1:10" ht="14.25" x14ac:dyDescent="0.2">
      <c r="A43" s="40"/>
      <c r="B43" s="55" t="s">
        <v>471</v>
      </c>
      <c r="C43" s="7"/>
      <c r="D43" s="361">
        <v>6</v>
      </c>
      <c r="E43" s="7"/>
      <c r="F43" s="19" t="s">
        <v>191</v>
      </c>
      <c r="G43" s="7"/>
      <c r="H43" s="356">
        <v>2.7</v>
      </c>
      <c r="I43" s="7"/>
      <c r="J43" s="20">
        <f>D43*H43</f>
        <v>16.200000000000003</v>
      </c>
    </row>
    <row r="44" spans="1:10" x14ac:dyDescent="0.2">
      <c r="A44" s="40"/>
      <c r="B44" s="55"/>
      <c r="C44" s="7"/>
      <c r="D44" s="369"/>
      <c r="E44" s="7"/>
      <c r="F44" s="19"/>
      <c r="G44" s="7"/>
      <c r="H44" s="356"/>
      <c r="I44" s="7"/>
      <c r="J44" s="20">
        <f>D44*H44</f>
        <v>0</v>
      </c>
    </row>
    <row r="45" spans="1:10" ht="5.25" customHeight="1" x14ac:dyDescent="0.2">
      <c r="A45" s="40"/>
      <c r="B45" s="7"/>
      <c r="C45" s="7"/>
      <c r="D45" s="59"/>
      <c r="E45" s="7"/>
      <c r="F45" s="8"/>
      <c r="G45" s="7"/>
      <c r="H45" s="61"/>
      <c r="I45" s="7"/>
      <c r="J45" s="20"/>
    </row>
    <row r="46" spans="1:10" x14ac:dyDescent="0.2">
      <c r="A46" s="40"/>
      <c r="B46" s="52" t="s">
        <v>50</v>
      </c>
      <c r="C46" s="7"/>
      <c r="D46" s="73"/>
      <c r="E46" s="7"/>
      <c r="F46" s="8"/>
      <c r="G46" s="7"/>
      <c r="H46" s="61"/>
      <c r="I46" s="7"/>
      <c r="J46" s="324">
        <f>SUM(J47:J51)</f>
        <v>46.330000000000005</v>
      </c>
    </row>
    <row r="47" spans="1:10" x14ac:dyDescent="0.2">
      <c r="A47" s="40"/>
      <c r="B47" s="33" t="s">
        <v>284</v>
      </c>
      <c r="C47" s="7"/>
      <c r="D47" s="353">
        <v>7.68</v>
      </c>
      <c r="E47" s="7"/>
      <c r="F47" s="19" t="s">
        <v>286</v>
      </c>
      <c r="G47" s="7"/>
      <c r="H47" s="356">
        <f>Diesel</f>
        <v>2</v>
      </c>
      <c r="I47" s="7"/>
      <c r="J47" s="20">
        <f>D47*H47</f>
        <v>15.36</v>
      </c>
    </row>
    <row r="48" spans="1:10" x14ac:dyDescent="0.2">
      <c r="A48" s="40"/>
      <c r="B48" s="33" t="s">
        <v>285</v>
      </c>
      <c r="C48" s="7"/>
      <c r="D48" s="43">
        <v>1</v>
      </c>
      <c r="E48" s="7"/>
      <c r="F48" s="19" t="s">
        <v>190</v>
      </c>
      <c r="G48" s="7"/>
      <c r="H48" s="354">
        <v>3.44</v>
      </c>
      <c r="I48" s="7"/>
      <c r="J48" s="20">
        <f>D48*H48</f>
        <v>3.44</v>
      </c>
    </row>
    <row r="49" spans="1:33" x14ac:dyDescent="0.2">
      <c r="A49" s="40"/>
      <c r="B49" s="33" t="s">
        <v>91</v>
      </c>
      <c r="C49" s="7"/>
      <c r="D49" s="43">
        <v>1</v>
      </c>
      <c r="E49" s="7"/>
      <c r="F49" s="19" t="s">
        <v>190</v>
      </c>
      <c r="G49" s="7"/>
      <c r="H49" s="354">
        <v>7.05</v>
      </c>
      <c r="I49" s="7"/>
      <c r="J49" s="20">
        <f>D49*H49</f>
        <v>7.05</v>
      </c>
    </row>
    <row r="50" spans="1:33" x14ac:dyDescent="0.2">
      <c r="A50" s="40"/>
      <c r="B50" s="33" t="s">
        <v>173</v>
      </c>
      <c r="C50" s="7"/>
      <c r="D50" s="353">
        <v>0.79</v>
      </c>
      <c r="E50" s="7"/>
      <c r="F50" s="312" t="s">
        <v>184</v>
      </c>
      <c r="G50" s="7"/>
      <c r="H50" s="356">
        <f>Labor</f>
        <v>20</v>
      </c>
      <c r="I50" s="7"/>
      <c r="J50" s="20">
        <f>D50*H50</f>
        <v>15.8</v>
      </c>
    </row>
    <row r="51" spans="1:33" x14ac:dyDescent="0.2">
      <c r="A51" s="40"/>
      <c r="B51" s="459" t="s">
        <v>473</v>
      </c>
      <c r="C51" s="7"/>
      <c r="D51" s="353">
        <v>0.36</v>
      </c>
      <c r="E51" s="7"/>
      <c r="F51" s="312" t="s">
        <v>184</v>
      </c>
      <c r="G51" s="7"/>
      <c r="H51" s="356">
        <v>13</v>
      </c>
      <c r="I51" s="7"/>
      <c r="J51" s="20">
        <f>D51*H51</f>
        <v>4.68</v>
      </c>
    </row>
    <row r="52" spans="1:33" ht="3.75" customHeight="1" x14ac:dyDescent="0.2">
      <c r="A52" s="40"/>
      <c r="B52" s="7"/>
      <c r="C52" s="7"/>
      <c r="D52" s="44"/>
      <c r="E52" s="7"/>
      <c r="F52" s="8"/>
      <c r="G52" s="7"/>
      <c r="H52" s="61"/>
      <c r="I52" s="7"/>
      <c r="J52" s="20"/>
    </row>
    <row r="53" spans="1:33" x14ac:dyDescent="0.2">
      <c r="A53" s="40"/>
      <c r="B53" s="52" t="s">
        <v>152</v>
      </c>
      <c r="C53" s="7"/>
      <c r="D53" s="73"/>
      <c r="E53" s="7"/>
      <c r="F53" s="8"/>
      <c r="G53" s="7"/>
      <c r="H53" s="61"/>
      <c r="I53" s="7"/>
      <c r="J53" s="324">
        <f>SUM(J54:J56)</f>
        <v>6.9749999999999996</v>
      </c>
    </row>
    <row r="54" spans="1:33" x14ac:dyDescent="0.2">
      <c r="A54" s="40"/>
      <c r="B54" s="18" t="s">
        <v>261</v>
      </c>
      <c r="C54" s="7"/>
      <c r="D54" s="361">
        <v>0</v>
      </c>
      <c r="E54" s="7"/>
      <c r="F54" s="19" t="s">
        <v>190</v>
      </c>
      <c r="G54" s="7"/>
      <c r="H54" s="356">
        <f>Sprayer</f>
        <v>2</v>
      </c>
      <c r="I54" s="7"/>
      <c r="J54" s="20">
        <f>D54*H54</f>
        <v>0</v>
      </c>
    </row>
    <row r="55" spans="1:33" x14ac:dyDescent="0.2">
      <c r="A55" s="40"/>
      <c r="B55" s="18" t="s">
        <v>207</v>
      </c>
      <c r="C55" s="7"/>
      <c r="D55" s="369">
        <v>0.5</v>
      </c>
      <c r="E55" s="7"/>
      <c r="F55" s="19" t="s">
        <v>190</v>
      </c>
      <c r="G55" s="7"/>
      <c r="H55" s="356">
        <f>Aerial</f>
        <v>8.9499999999999993</v>
      </c>
      <c r="I55" s="7"/>
      <c r="J55" s="20">
        <f>D55*H55</f>
        <v>4.4749999999999996</v>
      </c>
    </row>
    <row r="56" spans="1:33" x14ac:dyDescent="0.2">
      <c r="A56" s="40"/>
      <c r="B56" s="18" t="s">
        <v>195</v>
      </c>
      <c r="C56" s="7"/>
      <c r="D56" s="361">
        <v>1</v>
      </c>
      <c r="E56" s="7"/>
      <c r="F56" s="19" t="s">
        <v>190</v>
      </c>
      <c r="G56" s="7"/>
      <c r="H56" s="356">
        <f>Shooter</f>
        <v>2.5</v>
      </c>
      <c r="I56" s="7"/>
      <c r="J56" s="20">
        <f>D56*H56</f>
        <v>2.5</v>
      </c>
    </row>
    <row r="57" spans="1:33" ht="3.75" customHeight="1" x14ac:dyDescent="0.2">
      <c r="A57" s="40"/>
      <c r="B57" s="7"/>
      <c r="C57" s="7"/>
      <c r="D57" s="44"/>
      <c r="E57" s="7"/>
      <c r="F57" s="8"/>
      <c r="G57" s="7"/>
      <c r="H57" s="61"/>
      <c r="I57" s="7"/>
      <c r="J57" s="20"/>
    </row>
    <row r="58" spans="1:33" x14ac:dyDescent="0.2">
      <c r="A58" s="40"/>
      <c r="B58" s="52" t="s">
        <v>153</v>
      </c>
      <c r="C58" s="7"/>
      <c r="D58" s="44"/>
      <c r="E58" s="7"/>
      <c r="F58" s="8"/>
      <c r="G58" s="7"/>
      <c r="H58" s="61"/>
      <c r="I58" s="7"/>
      <c r="J58" s="324">
        <f>SUM(J59:J61)</f>
        <v>17</v>
      </c>
    </row>
    <row r="59" spans="1:33" x14ac:dyDescent="0.2">
      <c r="A59" s="40"/>
      <c r="B59" s="18" t="s">
        <v>192</v>
      </c>
      <c r="C59" s="7"/>
      <c r="D59" s="43">
        <v>1</v>
      </c>
      <c r="E59" s="7"/>
      <c r="F59" s="19" t="s">
        <v>190</v>
      </c>
      <c r="G59" s="7"/>
      <c r="H59" s="358">
        <f>CIHRS</f>
        <v>17</v>
      </c>
      <c r="I59" s="7"/>
      <c r="J59" s="20">
        <f>D59*H59</f>
        <v>17</v>
      </c>
    </row>
    <row r="60" spans="1:33" x14ac:dyDescent="0.2">
      <c r="A60" s="40"/>
      <c r="B60" s="33" t="s">
        <v>172</v>
      </c>
      <c r="C60" s="7"/>
      <c r="D60" s="43"/>
      <c r="E60" s="7"/>
      <c r="F60" s="19"/>
      <c r="G60" s="7"/>
      <c r="H60" s="45"/>
      <c r="I60" s="7"/>
      <c r="J60" s="20">
        <f>D60*H60</f>
        <v>0</v>
      </c>
    </row>
    <row r="61" spans="1:33" x14ac:dyDescent="0.2">
      <c r="A61" s="197"/>
      <c r="B61" s="33" t="s">
        <v>240</v>
      </c>
      <c r="C61" s="7"/>
      <c r="D61" s="193"/>
      <c r="E61" s="7"/>
      <c r="F61" s="19"/>
      <c r="G61" s="7"/>
      <c r="H61" s="45"/>
      <c r="I61" s="7"/>
      <c r="J61" s="20"/>
      <c r="L61" s="197"/>
      <c r="M61" s="197"/>
      <c r="N61" s="197"/>
      <c r="O61" s="197"/>
      <c r="P61" s="197"/>
      <c r="Q61" s="197"/>
      <c r="R61" s="197"/>
      <c r="S61" s="197"/>
      <c r="T61" s="197"/>
      <c r="U61" s="197"/>
      <c r="V61" s="197"/>
      <c r="W61" s="197"/>
      <c r="X61" s="197"/>
      <c r="Y61" s="197"/>
      <c r="Z61" s="197"/>
      <c r="AA61" s="197"/>
      <c r="AB61" s="197"/>
      <c r="AC61" s="197"/>
      <c r="AD61" s="197"/>
      <c r="AE61" s="197"/>
      <c r="AF61" s="197"/>
      <c r="AG61" s="197"/>
    </row>
    <row r="62" spans="1:33" ht="3.75" customHeight="1" x14ac:dyDescent="0.2">
      <c r="A62" s="40"/>
      <c r="B62" s="7"/>
      <c r="C62" s="7"/>
      <c r="D62" s="44"/>
      <c r="E62" s="7"/>
      <c r="F62" s="8"/>
      <c r="G62" s="7"/>
      <c r="H62" s="44"/>
      <c r="I62" s="7"/>
      <c r="J62" s="20"/>
    </row>
    <row r="63" spans="1:33" ht="14.25" x14ac:dyDescent="0.2">
      <c r="A63" s="40"/>
      <c r="B63" s="69" t="s">
        <v>51</v>
      </c>
      <c r="C63" s="7"/>
      <c r="D63" s="44"/>
      <c r="E63" s="7"/>
      <c r="F63" s="8"/>
      <c r="G63" s="7"/>
      <c r="H63" s="44"/>
      <c r="I63" s="7"/>
      <c r="J63" s="20">
        <v>5.29</v>
      </c>
    </row>
    <row r="64" spans="1:33" ht="3.75" customHeight="1" x14ac:dyDescent="0.2">
      <c r="A64" s="40"/>
      <c r="B64" s="7"/>
      <c r="C64" s="7"/>
      <c r="D64" s="44"/>
      <c r="E64" s="7"/>
      <c r="F64" s="8"/>
      <c r="G64" s="7"/>
      <c r="H64" s="44"/>
      <c r="I64" s="7"/>
      <c r="J64" s="20"/>
    </row>
    <row r="65" spans="1:33" x14ac:dyDescent="0.2">
      <c r="A65" s="40"/>
      <c r="B65" s="52" t="s">
        <v>232</v>
      </c>
      <c r="C65" s="52"/>
      <c r="D65" s="65"/>
      <c r="E65" s="52"/>
      <c r="F65" s="53"/>
      <c r="G65" s="52"/>
      <c r="H65" s="65"/>
      <c r="I65" s="52"/>
      <c r="J65" s="54">
        <f>SUM(J18:J63)-(J18+J21+J29+J42+J46+J53+J58)</f>
        <v>248.73300000000012</v>
      </c>
    </row>
    <row r="66" spans="1:33" x14ac:dyDescent="0.2">
      <c r="A66" s="40"/>
      <c r="B66" s="7" t="s">
        <v>233</v>
      </c>
      <c r="C66" s="7"/>
      <c r="D66" s="44"/>
      <c r="E66" s="7"/>
      <c r="F66" s="8"/>
      <c r="G66" s="7"/>
      <c r="H66" s="44"/>
      <c r="I66" s="7"/>
      <c r="J66" s="20">
        <f>J65/D14</f>
        <v>4.2885000000000018</v>
      </c>
    </row>
    <row r="67" spans="1:33" ht="3.75" customHeight="1" x14ac:dyDescent="0.2">
      <c r="A67" s="40"/>
      <c r="B67" s="7"/>
      <c r="C67" s="7"/>
      <c r="D67" s="44"/>
      <c r="E67" s="7"/>
      <c r="F67" s="8"/>
      <c r="G67" s="7"/>
      <c r="H67" s="44"/>
      <c r="I67" s="7"/>
      <c r="J67" s="20"/>
    </row>
    <row r="68" spans="1:33" s="47" customFormat="1" x14ac:dyDescent="0.2">
      <c r="A68" s="46"/>
      <c r="B68" s="62" t="s">
        <v>234</v>
      </c>
      <c r="C68" s="62"/>
      <c r="D68" s="63"/>
      <c r="E68" s="62"/>
      <c r="F68" s="64"/>
      <c r="G68" s="62"/>
      <c r="H68" s="63"/>
      <c r="I68" s="62"/>
      <c r="J68" s="96">
        <f>J14-J65</f>
        <v>25.026999999999873</v>
      </c>
      <c r="L68" s="46"/>
      <c r="M68" s="46"/>
      <c r="N68" s="46"/>
      <c r="O68" s="46"/>
      <c r="P68" s="46"/>
      <c r="Q68" s="46"/>
      <c r="R68" s="46"/>
      <c r="S68" s="46"/>
      <c r="T68" s="46"/>
      <c r="U68" s="46"/>
      <c r="V68" s="46"/>
      <c r="W68" s="46"/>
      <c r="X68" s="46"/>
      <c r="Y68" s="46"/>
      <c r="Z68" s="46"/>
      <c r="AA68" s="46"/>
      <c r="AB68" s="46"/>
      <c r="AC68" s="46"/>
      <c r="AD68" s="46"/>
      <c r="AE68" s="46"/>
      <c r="AF68" s="46"/>
      <c r="AG68" s="46"/>
    </row>
    <row r="69" spans="1:33" ht="24.75" customHeight="1" x14ac:dyDescent="0.2">
      <c r="A69" s="40"/>
      <c r="B69" s="6" t="s">
        <v>325</v>
      </c>
      <c r="C69" s="7"/>
      <c r="D69" s="44"/>
      <c r="E69" s="7"/>
      <c r="F69" s="8"/>
      <c r="G69" s="7"/>
      <c r="H69" s="44"/>
      <c r="I69" s="7"/>
      <c r="J69" s="20"/>
    </row>
    <row r="70" spans="1:33" x14ac:dyDescent="0.2">
      <c r="A70" s="40"/>
      <c r="B70" s="570" t="s">
        <v>485</v>
      </c>
      <c r="C70" s="570"/>
      <c r="D70" s="570"/>
      <c r="E70" s="7"/>
      <c r="F70" s="19" t="s">
        <v>190</v>
      </c>
      <c r="G70" s="7"/>
      <c r="H70" s="354">
        <f>'Machinery Costs'!$C$126</f>
        <v>15.219999999999999</v>
      </c>
      <c r="I70" s="7"/>
      <c r="J70" s="20">
        <f>H70</f>
        <v>15.219999999999999</v>
      </c>
    </row>
    <row r="71" spans="1:33" x14ac:dyDescent="0.2">
      <c r="A71" s="40"/>
      <c r="B71" s="570" t="s">
        <v>486</v>
      </c>
      <c r="C71" s="570"/>
      <c r="D71" s="570"/>
      <c r="E71" s="7"/>
      <c r="F71" s="19" t="s">
        <v>190</v>
      </c>
      <c r="G71" s="7"/>
      <c r="H71" s="354">
        <f>'Machinery Costs'!$D$126</f>
        <v>11.461</v>
      </c>
      <c r="I71" s="7"/>
      <c r="J71" s="20">
        <f>H71</f>
        <v>11.461</v>
      </c>
    </row>
    <row r="72" spans="1:33" x14ac:dyDescent="0.2">
      <c r="A72" s="40"/>
      <c r="B72" s="570" t="s">
        <v>487</v>
      </c>
      <c r="C72" s="570"/>
      <c r="D72" s="570"/>
      <c r="E72" s="7"/>
      <c r="F72" s="19" t="s">
        <v>190</v>
      </c>
      <c r="G72" s="7"/>
      <c r="H72" s="354">
        <f>'Machinery Costs'!$E$126</f>
        <v>4.9529999999999985</v>
      </c>
      <c r="I72" s="7"/>
      <c r="J72" s="20">
        <f>H72</f>
        <v>4.9529999999999985</v>
      </c>
    </row>
    <row r="73" spans="1:33" x14ac:dyDescent="0.2">
      <c r="A73" s="40"/>
      <c r="B73" s="18" t="s">
        <v>266</v>
      </c>
      <c r="C73" s="7"/>
      <c r="D73" s="8"/>
      <c r="E73" s="7"/>
      <c r="F73" s="19" t="s">
        <v>190</v>
      </c>
      <c r="G73" s="7"/>
      <c r="H73" s="79">
        <f>ROUND((D14*H14)*D75-(J21+J29+J42+H59)*D75, 0)</f>
        <v>37</v>
      </c>
      <c r="I73" s="7"/>
      <c r="J73" s="20">
        <f>+H73</f>
        <v>37</v>
      </c>
    </row>
    <row r="74" spans="1:33" ht="12.75" customHeight="1" x14ac:dyDescent="0.2">
      <c r="A74" s="40"/>
      <c r="B74" s="7" t="s">
        <v>267</v>
      </c>
      <c r="C74" s="7"/>
      <c r="D74" s="44"/>
      <c r="E74" s="7"/>
      <c r="F74" s="8"/>
      <c r="G74" s="7"/>
      <c r="H74" s="93"/>
      <c r="I74" s="7"/>
      <c r="J74" s="20"/>
    </row>
    <row r="75" spans="1:33" ht="12.75" customHeight="1" x14ac:dyDescent="0.2">
      <c r="A75" s="40"/>
      <c r="B75" s="7" t="s">
        <v>268</v>
      </c>
      <c r="C75" s="7"/>
      <c r="D75" s="372">
        <f>OwnerShare</f>
        <v>0.33</v>
      </c>
      <c r="E75" s="7"/>
      <c r="F75" s="8"/>
      <c r="G75" s="7"/>
      <c r="H75" s="61"/>
      <c r="I75" s="7"/>
      <c r="J75" s="20"/>
    </row>
    <row r="76" spans="1:33" ht="12.75" customHeight="1" x14ac:dyDescent="0.2">
      <c r="A76" s="40"/>
      <c r="B76" s="7" t="s">
        <v>269</v>
      </c>
      <c r="C76" s="7"/>
      <c r="D76" s="372">
        <f>OperShare</f>
        <v>0.67</v>
      </c>
      <c r="E76" s="7"/>
      <c r="F76" s="8"/>
      <c r="G76" s="7"/>
      <c r="H76" s="61"/>
      <c r="I76" s="7"/>
      <c r="J76" s="20"/>
    </row>
    <row r="77" spans="1:33" x14ac:dyDescent="0.2">
      <c r="A77" s="40"/>
      <c r="B77" s="51"/>
      <c r="C77" s="51"/>
      <c r="D77" s="74"/>
      <c r="E77" s="51"/>
      <c r="F77" s="74"/>
      <c r="G77" s="7"/>
      <c r="H77" s="44"/>
      <c r="I77" s="7"/>
      <c r="J77" s="20"/>
    </row>
    <row r="78" spans="1:33" ht="14.25" x14ac:dyDescent="0.2">
      <c r="A78" s="197"/>
      <c r="B78" s="147" t="s">
        <v>334</v>
      </c>
      <c r="C78" s="7"/>
      <c r="D78" s="44"/>
      <c r="E78" s="7"/>
      <c r="F78" s="8"/>
      <c r="G78" s="7"/>
      <c r="H78" s="44"/>
      <c r="I78" s="7"/>
      <c r="J78" s="20">
        <f>ROUND(($J$18+$J$21+$J$29+$J$42+$J$46+$J$53+$J$58)*oh, 0)</f>
        <v>6</v>
      </c>
      <c r="L78" s="197"/>
      <c r="M78" s="197"/>
      <c r="N78" s="197"/>
      <c r="O78" s="197"/>
      <c r="P78" s="197"/>
      <c r="Q78" s="197"/>
      <c r="R78" s="197"/>
      <c r="S78" s="197"/>
      <c r="T78" s="197"/>
      <c r="U78" s="197"/>
      <c r="V78" s="197"/>
      <c r="W78" s="197"/>
      <c r="X78" s="197"/>
      <c r="Y78" s="197"/>
      <c r="Z78" s="197"/>
      <c r="AA78" s="197"/>
      <c r="AB78" s="197"/>
      <c r="AC78" s="197"/>
      <c r="AD78" s="197"/>
      <c r="AE78" s="197"/>
      <c r="AF78" s="197"/>
      <c r="AG78" s="197"/>
    </row>
    <row r="79" spans="1:33" ht="14.25" x14ac:dyDescent="0.2">
      <c r="A79" s="197"/>
      <c r="B79" s="147" t="s">
        <v>335</v>
      </c>
      <c r="C79" s="94"/>
      <c r="D79" s="59"/>
      <c r="E79" s="7"/>
      <c r="F79" s="8"/>
      <c r="G79" s="7"/>
      <c r="H79" s="44"/>
      <c r="I79" s="7"/>
      <c r="J79" s="20">
        <f>ROUND(($J$14)*MF, 0)</f>
        <v>14</v>
      </c>
      <c r="K79" s="197"/>
      <c r="L79" s="197"/>
      <c r="M79" s="197"/>
      <c r="N79" s="197"/>
      <c r="O79" s="197"/>
      <c r="P79" s="197"/>
      <c r="Q79" s="197"/>
      <c r="R79" s="197"/>
      <c r="S79" s="197"/>
      <c r="T79" s="197"/>
      <c r="U79" s="197"/>
      <c r="V79" s="197"/>
      <c r="W79" s="197"/>
      <c r="X79" s="197"/>
      <c r="Y79" s="197"/>
      <c r="Z79" s="197"/>
      <c r="AA79" s="197"/>
      <c r="AB79" s="197"/>
      <c r="AC79" s="197"/>
      <c r="AD79" s="197"/>
      <c r="AE79" s="197"/>
      <c r="AF79" s="197"/>
      <c r="AG79"/>
    </row>
    <row r="80" spans="1:33" ht="5.25" customHeight="1" x14ac:dyDescent="0.2">
      <c r="A80" s="40"/>
      <c r="B80" s="7"/>
      <c r="C80" s="7"/>
      <c r="D80" s="44"/>
      <c r="E80" s="7"/>
      <c r="F80" s="8"/>
      <c r="G80" s="7"/>
      <c r="H80" s="44"/>
      <c r="I80" s="7"/>
      <c r="J80" s="20"/>
    </row>
    <row r="81" spans="1:33" x14ac:dyDescent="0.2">
      <c r="A81" s="40"/>
      <c r="B81" s="52" t="s">
        <v>230</v>
      </c>
      <c r="C81" s="52"/>
      <c r="D81" s="65"/>
      <c r="E81" s="52"/>
      <c r="F81" s="53"/>
      <c r="G81" s="52"/>
      <c r="H81" s="65"/>
      <c r="I81" s="52"/>
      <c r="J81" s="54">
        <f>SUM(J69:J79)</f>
        <v>88.634</v>
      </c>
    </row>
    <row r="82" spans="1:33" x14ac:dyDescent="0.2">
      <c r="A82" s="40"/>
      <c r="B82" s="7" t="s">
        <v>231</v>
      </c>
      <c r="C82" s="7"/>
      <c r="D82" s="44"/>
      <c r="E82" s="7"/>
      <c r="F82" s="8"/>
      <c r="G82" s="7"/>
      <c r="H82" s="44"/>
      <c r="I82" s="7"/>
      <c r="J82" s="20">
        <f>J81/D14</f>
        <v>1.5281724137931034</v>
      </c>
    </row>
    <row r="83" spans="1:33" x14ac:dyDescent="0.2">
      <c r="A83" s="40"/>
      <c r="B83" s="7"/>
      <c r="C83" s="7"/>
      <c r="D83" s="44"/>
      <c r="E83" s="7"/>
      <c r="F83" s="8"/>
      <c r="G83" s="7"/>
      <c r="H83" s="44"/>
      <c r="I83" s="7"/>
      <c r="J83" s="20"/>
    </row>
    <row r="84" spans="1:33" x14ac:dyDescent="0.2">
      <c r="A84" s="40"/>
      <c r="B84" s="52" t="s">
        <v>94</v>
      </c>
      <c r="C84" s="52"/>
      <c r="D84" s="65"/>
      <c r="E84" s="52"/>
      <c r="F84" s="53"/>
      <c r="G84" s="52"/>
      <c r="H84" s="65"/>
      <c r="I84" s="52"/>
      <c r="J84" s="54">
        <f>J65+J81</f>
        <v>337.36700000000013</v>
      </c>
    </row>
    <row r="85" spans="1:33" s="50" customFormat="1" x14ac:dyDescent="0.2">
      <c r="A85" s="68"/>
      <c r="B85" s="69" t="s">
        <v>95</v>
      </c>
      <c r="C85" s="69"/>
      <c r="D85" s="75"/>
      <c r="E85" s="69"/>
      <c r="F85" s="70"/>
      <c r="G85" s="69"/>
      <c r="H85" s="75"/>
      <c r="I85" s="69"/>
      <c r="J85" s="71">
        <f>J84/D14</f>
        <v>5.8166724137931061</v>
      </c>
      <c r="L85" s="68"/>
      <c r="M85" s="68"/>
      <c r="N85" s="68"/>
      <c r="O85" s="68"/>
      <c r="P85" s="68"/>
      <c r="Q85" s="68"/>
      <c r="R85" s="68"/>
      <c r="S85" s="68"/>
      <c r="T85" s="68"/>
      <c r="U85" s="68"/>
      <c r="V85" s="68"/>
      <c r="W85" s="68"/>
      <c r="X85" s="68"/>
      <c r="Y85" s="68"/>
      <c r="Z85" s="68"/>
      <c r="AA85" s="68"/>
      <c r="AB85" s="68"/>
      <c r="AC85" s="68"/>
      <c r="AD85" s="68"/>
      <c r="AE85" s="68"/>
      <c r="AF85" s="68"/>
      <c r="AG85" s="68"/>
    </row>
    <row r="86" spans="1:33" x14ac:dyDescent="0.2">
      <c r="A86" s="40"/>
      <c r="B86" s="7"/>
      <c r="C86" s="7"/>
      <c r="D86" s="44"/>
      <c r="E86" s="7"/>
      <c r="F86" s="8"/>
      <c r="G86" s="7"/>
      <c r="H86" s="44"/>
      <c r="I86" s="7"/>
      <c r="J86" s="20"/>
    </row>
    <row r="87" spans="1:33" s="47" customFormat="1" x14ac:dyDescent="0.2">
      <c r="A87" s="46"/>
      <c r="B87" s="52" t="s">
        <v>96</v>
      </c>
      <c r="C87" s="52"/>
      <c r="D87" s="65"/>
      <c r="E87" s="52"/>
      <c r="F87" s="53"/>
      <c r="G87" s="52"/>
      <c r="H87" s="65"/>
      <c r="I87" s="52"/>
      <c r="J87" s="54">
        <f>J14-J84</f>
        <v>-63.607000000000141</v>
      </c>
      <c r="L87" s="46"/>
      <c r="M87" s="46"/>
      <c r="N87" s="46"/>
      <c r="O87" s="46"/>
      <c r="P87" s="46"/>
      <c r="Q87" s="46"/>
      <c r="R87" s="46"/>
      <c r="S87" s="46"/>
      <c r="T87" s="46"/>
      <c r="U87" s="46"/>
      <c r="V87" s="46"/>
      <c r="W87" s="46"/>
      <c r="X87" s="46"/>
      <c r="Y87" s="46"/>
      <c r="Z87" s="46"/>
      <c r="AA87" s="46"/>
      <c r="AB87" s="46"/>
      <c r="AC87" s="46"/>
      <c r="AD87" s="46"/>
      <c r="AE87" s="46"/>
      <c r="AF87" s="46"/>
      <c r="AG87" s="46"/>
    </row>
    <row r="88" spans="1:33" x14ac:dyDescent="0.2">
      <c r="A88" s="40"/>
      <c r="B88" s="3"/>
      <c r="C88" s="3"/>
      <c r="D88" s="2"/>
      <c r="E88" s="3"/>
      <c r="F88" s="4"/>
      <c r="G88" s="3"/>
      <c r="H88" s="2"/>
      <c r="I88" s="3"/>
      <c r="J88" s="5"/>
      <c r="K88" s="1"/>
    </row>
    <row r="89" spans="1:33" x14ac:dyDescent="0.2">
      <c r="A89" s="40"/>
      <c r="B89" s="56" t="s">
        <v>97</v>
      </c>
      <c r="C89" s="56"/>
      <c r="D89" s="76"/>
      <c r="E89" s="56"/>
      <c r="F89" s="57"/>
      <c r="G89" s="56"/>
      <c r="H89" s="76"/>
      <c r="I89" s="56"/>
      <c r="J89" s="56"/>
      <c r="K89" s="14"/>
    </row>
    <row r="90" spans="1:33" ht="15" customHeight="1" x14ac:dyDescent="0.2">
      <c r="A90" s="197"/>
      <c r="B90" s="563" t="s">
        <v>472</v>
      </c>
      <c r="C90" s="577"/>
      <c r="D90" s="577"/>
      <c r="E90" s="577"/>
      <c r="F90" s="577"/>
      <c r="G90" s="577"/>
      <c r="H90" s="577"/>
      <c r="I90" s="577"/>
      <c r="J90" s="577"/>
      <c r="K90" s="14"/>
      <c r="L90" s="197"/>
      <c r="M90" s="197"/>
      <c r="N90" s="197"/>
      <c r="O90" s="197"/>
      <c r="P90" s="197"/>
      <c r="Q90" s="197"/>
      <c r="R90" s="197"/>
      <c r="S90" s="197"/>
      <c r="T90" s="197"/>
      <c r="U90" s="197"/>
      <c r="V90" s="197"/>
      <c r="W90" s="197"/>
      <c r="X90" s="197"/>
      <c r="Y90" s="197"/>
      <c r="Z90" s="197"/>
      <c r="AA90" s="197"/>
      <c r="AB90" s="197"/>
      <c r="AC90" s="197"/>
      <c r="AD90" s="197"/>
      <c r="AE90" s="197"/>
      <c r="AF90" s="197"/>
      <c r="AG90" s="197"/>
    </row>
    <row r="91" spans="1:33" s="457" customFormat="1" ht="15.6" customHeight="1" x14ac:dyDescent="0.2">
      <c r="B91" s="563" t="s">
        <v>467</v>
      </c>
      <c r="C91" s="563"/>
      <c r="D91" s="563"/>
      <c r="E91" s="563"/>
      <c r="F91" s="563"/>
      <c r="G91" s="563"/>
      <c r="H91" s="563"/>
      <c r="I91" s="563"/>
      <c r="J91" s="563"/>
    </row>
    <row r="92" spans="1:33" s="197" customFormat="1" ht="16.5" customHeight="1" x14ac:dyDescent="0.2">
      <c r="B92" s="568" t="s">
        <v>340</v>
      </c>
      <c r="C92" s="563"/>
      <c r="D92" s="563"/>
      <c r="E92" s="563"/>
      <c r="F92" s="563"/>
      <c r="G92" s="563"/>
      <c r="H92" s="563"/>
      <c r="I92" s="563"/>
      <c r="J92" s="563"/>
    </row>
    <row r="93" spans="1:33" s="197" customFormat="1" ht="30" customHeight="1" x14ac:dyDescent="0.2">
      <c r="B93" s="568" t="s">
        <v>341</v>
      </c>
      <c r="C93" s="569"/>
      <c r="D93" s="569"/>
      <c r="E93" s="569"/>
      <c r="F93" s="569"/>
      <c r="G93" s="569"/>
      <c r="H93" s="569"/>
      <c r="I93" s="569"/>
      <c r="J93" s="569"/>
    </row>
    <row r="94" spans="1:33" x14ac:dyDescent="0.2">
      <c r="A94" s="40"/>
      <c r="B94" s="7"/>
      <c r="C94" s="7"/>
      <c r="D94" s="44"/>
      <c r="E94" s="7"/>
      <c r="F94" s="8"/>
      <c r="G94" s="7"/>
      <c r="H94" s="44"/>
      <c r="I94" s="7"/>
      <c r="J94" s="7"/>
    </row>
    <row r="95" spans="1:33" x14ac:dyDescent="0.2">
      <c r="A95" s="40"/>
      <c r="B95" s="22" t="s">
        <v>98</v>
      </c>
      <c r="C95" s="7"/>
      <c r="D95" s="23" t="s">
        <v>99</v>
      </c>
      <c r="E95" s="7"/>
      <c r="F95" s="8"/>
      <c r="G95" s="7"/>
      <c r="H95" s="23" t="s">
        <v>101</v>
      </c>
      <c r="I95" s="7"/>
      <c r="J95" s="7"/>
    </row>
    <row r="96" spans="1:33" x14ac:dyDescent="0.2">
      <c r="A96" s="40"/>
      <c r="B96" s="7"/>
      <c r="C96" s="7"/>
      <c r="D96" s="24">
        <v>0.1</v>
      </c>
      <c r="E96" s="7"/>
      <c r="F96" s="8" t="s">
        <v>100</v>
      </c>
      <c r="G96" s="7"/>
      <c r="H96" s="24">
        <v>0.1</v>
      </c>
      <c r="I96" s="7"/>
      <c r="J96" s="7"/>
    </row>
    <row r="97" spans="1:10" x14ac:dyDescent="0.2">
      <c r="A97" s="40"/>
      <c r="B97" s="7"/>
      <c r="C97" s="7"/>
      <c r="D97" s="25"/>
      <c r="E97" s="3"/>
      <c r="F97" s="2" t="s">
        <v>102</v>
      </c>
      <c r="G97" s="3"/>
      <c r="H97" s="25"/>
      <c r="I97" s="7"/>
      <c r="J97" s="7"/>
    </row>
    <row r="98" spans="1:10" x14ac:dyDescent="0.2">
      <c r="A98" s="40"/>
      <c r="B98" s="26" t="s">
        <v>169</v>
      </c>
      <c r="C98" s="7"/>
      <c r="D98" s="148">
        <f>F98*(1-D96)</f>
        <v>52.2</v>
      </c>
      <c r="E98" s="27"/>
      <c r="F98" s="28">
        <f>D14</f>
        <v>58</v>
      </c>
      <c r="G98" s="27"/>
      <c r="H98" s="148">
        <f>F98*(1+H96)</f>
        <v>63.800000000000004</v>
      </c>
      <c r="I98" s="7"/>
      <c r="J98" s="7"/>
    </row>
    <row r="99" spans="1:10" ht="4.5" customHeight="1" x14ac:dyDescent="0.2">
      <c r="A99" s="40"/>
      <c r="B99" s="7"/>
      <c r="C99" s="7"/>
      <c r="D99" s="44"/>
      <c r="E99" s="7"/>
      <c r="F99" s="8"/>
      <c r="G99" s="7"/>
      <c r="H99" s="44"/>
      <c r="I99" s="7"/>
      <c r="J99" s="7"/>
    </row>
    <row r="100" spans="1:10" x14ac:dyDescent="0.2">
      <c r="A100" s="40"/>
      <c r="B100" s="7" t="s">
        <v>170</v>
      </c>
      <c r="C100" s="7"/>
      <c r="D100" s="29">
        <f>$J$65/D98</f>
        <v>4.7650000000000023</v>
      </c>
      <c r="E100" s="7"/>
      <c r="F100" s="29">
        <f>$J$65/F98</f>
        <v>4.2885000000000018</v>
      </c>
      <c r="G100" s="7"/>
      <c r="H100" s="29">
        <f>$J$65/H98</f>
        <v>3.8986363636363652</v>
      </c>
      <c r="I100" s="7"/>
      <c r="J100" s="7"/>
    </row>
    <row r="101" spans="1:10" ht="4.5" customHeight="1" x14ac:dyDescent="0.2">
      <c r="A101" s="40"/>
      <c r="B101" s="7"/>
      <c r="C101" s="7"/>
      <c r="D101" s="44"/>
      <c r="E101" s="7"/>
      <c r="F101" s="8"/>
      <c r="G101" s="7"/>
      <c r="H101" s="44"/>
      <c r="I101" s="7"/>
      <c r="J101" s="7"/>
    </row>
    <row r="102" spans="1:10" x14ac:dyDescent="0.2">
      <c r="A102" s="40"/>
      <c r="B102" s="7" t="s">
        <v>171</v>
      </c>
      <c r="C102" s="7"/>
      <c r="D102" s="29">
        <f>$J$81/D98</f>
        <v>1.6979693486590037</v>
      </c>
      <c r="E102" s="7"/>
      <c r="F102" s="29">
        <f>$J$81/F98</f>
        <v>1.5281724137931034</v>
      </c>
      <c r="G102" s="7"/>
      <c r="H102" s="29">
        <f>$J$81/H98</f>
        <v>1.3892476489028212</v>
      </c>
      <c r="I102" s="7"/>
      <c r="J102" s="7"/>
    </row>
    <row r="103" spans="1:10" ht="3.75" customHeight="1" x14ac:dyDescent="0.2">
      <c r="A103" s="40"/>
      <c r="B103" s="7"/>
      <c r="C103" s="7"/>
      <c r="D103" s="44"/>
      <c r="E103" s="7"/>
      <c r="F103" s="8"/>
      <c r="G103" s="7"/>
      <c r="H103" s="44"/>
      <c r="I103" s="7"/>
      <c r="J103" s="7"/>
    </row>
    <row r="104" spans="1:10" x14ac:dyDescent="0.2">
      <c r="A104" s="40"/>
      <c r="B104" s="7" t="s">
        <v>188</v>
      </c>
      <c r="C104" s="7"/>
      <c r="D104" s="29">
        <f>$J$84/D98</f>
        <v>6.4629693486590059</v>
      </c>
      <c r="E104" s="7"/>
      <c r="F104" s="29">
        <f>$J$84/F98</f>
        <v>5.8166724137931061</v>
      </c>
      <c r="G104" s="7"/>
      <c r="H104" s="29">
        <f>$J$84/H98</f>
        <v>5.2878840125391866</v>
      </c>
      <c r="I104" s="7"/>
      <c r="J104" s="7"/>
    </row>
    <row r="105" spans="1:10" ht="1.5" customHeight="1" x14ac:dyDescent="0.2">
      <c r="A105" s="40"/>
      <c r="B105" s="11"/>
      <c r="C105" s="11"/>
      <c r="D105" s="72"/>
      <c r="E105" s="11"/>
      <c r="F105" s="15"/>
      <c r="G105" s="11"/>
      <c r="H105" s="72"/>
      <c r="I105" s="11"/>
      <c r="J105" s="11"/>
    </row>
    <row r="106" spans="1:10" ht="12.75" customHeight="1" x14ac:dyDescent="0.2">
      <c r="A106" s="40"/>
      <c r="B106" s="11"/>
      <c r="C106" s="11"/>
      <c r="D106" s="23" t="s">
        <v>99</v>
      </c>
      <c r="E106" s="7"/>
      <c r="F106" s="8"/>
      <c r="G106" s="7"/>
      <c r="H106" s="23" t="s">
        <v>101</v>
      </c>
      <c r="I106" s="11"/>
      <c r="J106" s="11"/>
    </row>
    <row r="107" spans="1:10" ht="14.25" customHeight="1" x14ac:dyDescent="0.2">
      <c r="A107" s="40"/>
      <c r="B107" s="7"/>
      <c r="C107" s="7"/>
      <c r="D107" s="24">
        <v>0.1</v>
      </c>
      <c r="E107" s="7"/>
      <c r="F107" s="8" t="s">
        <v>100</v>
      </c>
      <c r="G107" s="7"/>
      <c r="H107" s="24">
        <v>0.1</v>
      </c>
      <c r="I107" s="7"/>
      <c r="J107" s="7"/>
    </row>
    <row r="108" spans="1:10" x14ac:dyDescent="0.2">
      <c r="A108" s="40"/>
      <c r="B108" s="7"/>
      <c r="C108" s="7"/>
      <c r="D108" s="2"/>
      <c r="E108" s="3"/>
      <c r="F108" s="4" t="s">
        <v>169</v>
      </c>
      <c r="G108" s="3"/>
      <c r="H108" s="2"/>
      <c r="I108" s="7"/>
      <c r="J108" s="7"/>
    </row>
    <row r="109" spans="1:10" x14ac:dyDescent="0.2">
      <c r="A109" s="40"/>
      <c r="B109" s="26" t="s">
        <v>102</v>
      </c>
      <c r="C109" s="7"/>
      <c r="D109" s="30">
        <f>F109*(1-D96)</f>
        <v>4.2480000000000002</v>
      </c>
      <c r="E109" s="27"/>
      <c r="F109" s="31">
        <f>H14</f>
        <v>4.72</v>
      </c>
      <c r="G109" s="27"/>
      <c r="H109" s="30">
        <f>F109*(1+H96)</f>
        <v>5.1920000000000002</v>
      </c>
      <c r="I109" s="7"/>
      <c r="J109" s="7"/>
    </row>
    <row r="110" spans="1:10" ht="4.5" customHeight="1" x14ac:dyDescent="0.2">
      <c r="A110" s="40"/>
      <c r="B110" s="7"/>
      <c r="C110" s="7"/>
      <c r="D110" s="44"/>
      <c r="E110" s="7"/>
      <c r="F110" s="8"/>
      <c r="G110" s="7"/>
      <c r="H110" s="44"/>
      <c r="I110" s="7"/>
      <c r="J110" s="7"/>
    </row>
    <row r="111" spans="1:10" x14ac:dyDescent="0.2">
      <c r="A111" s="40"/>
      <c r="B111" s="7" t="s">
        <v>170</v>
      </c>
      <c r="C111" s="7"/>
      <c r="D111" s="32">
        <f>$J$65/D109</f>
        <v>58.552966101694942</v>
      </c>
      <c r="E111" s="7"/>
      <c r="F111" s="32">
        <f>$J$65/F109</f>
        <v>52.697669491525453</v>
      </c>
      <c r="G111" s="7"/>
      <c r="H111" s="32">
        <f>$J$65/H109</f>
        <v>47.906972265023136</v>
      </c>
      <c r="I111" s="7"/>
      <c r="J111" s="7"/>
    </row>
    <row r="112" spans="1:10" ht="3" customHeight="1" x14ac:dyDescent="0.2">
      <c r="A112" s="40"/>
      <c r="B112" s="7"/>
      <c r="C112" s="7"/>
      <c r="D112" s="44"/>
      <c r="E112" s="7"/>
      <c r="F112" s="8"/>
      <c r="G112" s="7"/>
      <c r="H112" s="44"/>
      <c r="I112" s="7"/>
      <c r="J112" s="7"/>
    </row>
    <row r="113" spans="1:10" x14ac:dyDescent="0.2">
      <c r="A113" s="40"/>
      <c r="B113" s="7" t="s">
        <v>171</v>
      </c>
      <c r="C113" s="7"/>
      <c r="D113" s="32">
        <f>$J$81/D109</f>
        <v>20.864877589453858</v>
      </c>
      <c r="E113" s="7"/>
      <c r="F113" s="32">
        <f>$J$81/F109</f>
        <v>18.778389830508477</v>
      </c>
      <c r="G113" s="7"/>
      <c r="H113" s="32">
        <f>$J$81/H109</f>
        <v>17.071263482280433</v>
      </c>
      <c r="I113" s="7"/>
      <c r="J113" s="7"/>
    </row>
    <row r="114" spans="1:10" ht="3.75" customHeight="1" x14ac:dyDescent="0.2">
      <c r="A114" s="40"/>
      <c r="B114" s="7"/>
      <c r="C114" s="7"/>
      <c r="D114" s="44"/>
      <c r="E114" s="7"/>
      <c r="F114" s="8"/>
      <c r="G114" s="7"/>
      <c r="H114" s="44"/>
      <c r="I114" s="7"/>
      <c r="J114" s="7"/>
    </row>
    <row r="115" spans="1:10" x14ac:dyDescent="0.2">
      <c r="A115" s="40"/>
      <c r="B115" s="7" t="s">
        <v>188</v>
      </c>
      <c r="C115" s="7"/>
      <c r="D115" s="32">
        <f>$J$84/D109</f>
        <v>79.417843691148803</v>
      </c>
      <c r="E115" s="7"/>
      <c r="F115" s="32">
        <f>$J$84/F109</f>
        <v>71.476059322033933</v>
      </c>
      <c r="G115" s="7"/>
      <c r="H115" s="32">
        <f>$J$84/H109</f>
        <v>64.978235747303572</v>
      </c>
      <c r="I115" s="7"/>
      <c r="J115" s="7"/>
    </row>
    <row r="116" spans="1:10" ht="3" customHeight="1" x14ac:dyDescent="0.2">
      <c r="A116" s="40"/>
      <c r="B116" s="7"/>
      <c r="C116" s="7"/>
      <c r="D116" s="44"/>
      <c r="E116" s="7"/>
      <c r="F116" s="8"/>
      <c r="G116" s="7"/>
      <c r="H116" s="44"/>
      <c r="I116" s="7"/>
      <c r="J116" s="7"/>
    </row>
    <row r="117" spans="1:10" ht="3" customHeight="1" x14ac:dyDescent="0.2">
      <c r="A117" s="40"/>
      <c r="B117" s="3"/>
      <c r="C117" s="3"/>
      <c r="D117" s="2"/>
      <c r="E117" s="3"/>
      <c r="F117" s="4"/>
      <c r="G117" s="3"/>
      <c r="H117" s="2"/>
      <c r="I117" s="3"/>
      <c r="J117" s="3"/>
    </row>
    <row r="118" spans="1:10" s="40" customFormat="1" x14ac:dyDescent="0.2">
      <c r="D118" s="58"/>
      <c r="F118" s="41"/>
      <c r="H118" s="58"/>
    </row>
    <row r="119" spans="1:10" s="40" customFormat="1" x14ac:dyDescent="0.2">
      <c r="D119" s="58"/>
      <c r="F119" s="41"/>
      <c r="H119" s="58"/>
    </row>
    <row r="120" spans="1:10" s="40" customFormat="1" x14ac:dyDescent="0.2">
      <c r="D120" s="58"/>
      <c r="F120" s="41"/>
      <c r="H120" s="58"/>
    </row>
    <row r="121" spans="1:10" s="40" customFormat="1" x14ac:dyDescent="0.2">
      <c r="D121" s="58"/>
      <c r="F121" s="41"/>
      <c r="H121" s="194"/>
    </row>
    <row r="122" spans="1:10" s="40" customFormat="1" x14ac:dyDescent="0.2">
      <c r="D122" s="58"/>
      <c r="F122" s="41"/>
      <c r="H122" s="58"/>
    </row>
    <row r="123" spans="1:10" s="40" customFormat="1" x14ac:dyDescent="0.2">
      <c r="D123" s="58"/>
      <c r="F123" s="41"/>
      <c r="H123" s="58"/>
    </row>
    <row r="124" spans="1:10" s="40" customFormat="1" x14ac:dyDescent="0.2">
      <c r="D124" s="58"/>
      <c r="F124" s="41"/>
      <c r="H124" s="58"/>
    </row>
    <row r="125" spans="1:10" s="40" customFormat="1" x14ac:dyDescent="0.2">
      <c r="D125" s="58"/>
      <c r="F125" s="41"/>
      <c r="H125" s="58"/>
    </row>
    <row r="126" spans="1:10" s="40" customFormat="1" x14ac:dyDescent="0.2">
      <c r="D126" s="58"/>
      <c r="F126" s="41"/>
      <c r="H126" s="58"/>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sheetData>
  <customSheetViews>
    <customSheetView guid="{5519EDA0-AC19-11DC-BDFC-0017F2D6B148}" showPageBreaks="1" hiddenColumns="1" view="pageLayout">
      <selection activeCell="B1" sqref="B1"/>
      <pageMargins left="0.25" right="0.25" top="0.25" bottom="1" header="0.5" footer="0.5"/>
      <pageSetup paperSize="0" orientation="portrait" horizontalDpi="4294967292" verticalDpi="4294967292"/>
      <headerFooter alignWithMargins="0"/>
    </customSheetView>
  </customSheetViews>
  <mergeCells count="10">
    <mergeCell ref="B3:J3"/>
    <mergeCell ref="B6:J6"/>
    <mergeCell ref="B93:J93"/>
    <mergeCell ref="B8:J8"/>
    <mergeCell ref="B90:J90"/>
    <mergeCell ref="B91:J91"/>
    <mergeCell ref="B92:J92"/>
    <mergeCell ref="B70:D70"/>
    <mergeCell ref="B71:D71"/>
    <mergeCell ref="B72:D72"/>
  </mergeCells>
  <phoneticPr fontId="7"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8" min="1" max="9" man="1"/>
  </rowBreaks>
  <ignoredErrors>
    <ignoredError sqref="J60"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topLeftCell="A41" zoomScaleNormal="100" workbookViewId="0">
      <selection activeCell="B43" sqref="B4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9.28515625" customWidth="1"/>
    <col min="6" max="11" width="11.42578125" style="40" customWidth="1"/>
  </cols>
  <sheetData>
    <row r="1" spans="2:5" ht="15" customHeight="1" x14ac:dyDescent="0.2">
      <c r="B1" s="40"/>
      <c r="C1" s="40"/>
      <c r="D1" s="40"/>
      <c r="E1" s="40"/>
    </row>
    <row r="2" spans="2:5" ht="32.25" customHeight="1" x14ac:dyDescent="0.25">
      <c r="B2" s="571" t="s">
        <v>526</v>
      </c>
      <c r="C2" s="579"/>
      <c r="D2" s="579"/>
      <c r="E2" s="579"/>
    </row>
    <row r="3" spans="2:5" ht="6" customHeight="1" x14ac:dyDescent="0.25">
      <c r="B3" s="181"/>
      <c r="C3" s="182"/>
      <c r="D3" s="182"/>
      <c r="E3" s="182"/>
    </row>
    <row r="4" spans="2:5" ht="33" customHeight="1" x14ac:dyDescent="0.2">
      <c r="B4" s="183" t="s">
        <v>287</v>
      </c>
      <c r="C4" s="183" t="s">
        <v>289</v>
      </c>
      <c r="D4" s="183" t="s">
        <v>291</v>
      </c>
      <c r="E4" s="183" t="s">
        <v>292</v>
      </c>
    </row>
    <row r="5" spans="2:5" x14ac:dyDescent="0.2">
      <c r="B5" s="38"/>
      <c r="C5" s="38"/>
      <c r="D5" s="38"/>
      <c r="E5" s="326" t="s">
        <v>451</v>
      </c>
    </row>
    <row r="6" spans="2:5" x14ac:dyDescent="0.2">
      <c r="B6" s="5" t="s">
        <v>290</v>
      </c>
      <c r="C6" s="5" t="s">
        <v>131</v>
      </c>
      <c r="D6" s="90" t="s">
        <v>449</v>
      </c>
      <c r="E6" s="5" t="s">
        <v>174</v>
      </c>
    </row>
    <row r="7" spans="2:5" x14ac:dyDescent="0.2">
      <c r="B7" s="36"/>
      <c r="C7" s="36"/>
      <c r="D7" s="36" t="s">
        <v>53</v>
      </c>
      <c r="E7" s="36"/>
    </row>
    <row r="8" spans="2:5" x14ac:dyDescent="0.2">
      <c r="B8" s="37" t="s">
        <v>154</v>
      </c>
      <c r="C8" s="37" t="s">
        <v>260</v>
      </c>
      <c r="D8" s="37" t="s">
        <v>272</v>
      </c>
      <c r="E8" s="37"/>
    </row>
    <row r="9" spans="2:5" x14ac:dyDescent="0.2">
      <c r="B9" s="38"/>
      <c r="C9" s="38"/>
      <c r="D9" s="38"/>
      <c r="E9" s="38" t="s">
        <v>248</v>
      </c>
    </row>
    <row r="10" spans="2:5" x14ac:dyDescent="0.2">
      <c r="B10" s="5" t="s">
        <v>154</v>
      </c>
      <c r="C10" s="5" t="s">
        <v>229</v>
      </c>
      <c r="D10" s="5" t="s">
        <v>23</v>
      </c>
      <c r="E10" s="5" t="s">
        <v>116</v>
      </c>
    </row>
    <row r="11" spans="2:5" x14ac:dyDescent="0.2">
      <c r="B11" s="67"/>
      <c r="C11" s="67"/>
      <c r="D11" s="67" t="s">
        <v>24</v>
      </c>
      <c r="E11" s="67"/>
    </row>
    <row r="12" spans="2:5" x14ac:dyDescent="0.2">
      <c r="B12" s="67" t="s">
        <v>154</v>
      </c>
      <c r="C12" s="414" t="s">
        <v>260</v>
      </c>
      <c r="D12" s="67" t="s">
        <v>272</v>
      </c>
      <c r="E12" s="67"/>
    </row>
    <row r="13" spans="2:5" x14ac:dyDescent="0.2">
      <c r="B13" s="38"/>
      <c r="C13" s="38"/>
      <c r="D13" s="38"/>
      <c r="E13" s="38"/>
    </row>
    <row r="14" spans="2:5" x14ac:dyDescent="0.2">
      <c r="B14" s="5" t="s">
        <v>275</v>
      </c>
      <c r="C14" s="5" t="s">
        <v>241</v>
      </c>
      <c r="D14" s="5" t="s">
        <v>62</v>
      </c>
      <c r="E14" s="90" t="s">
        <v>350</v>
      </c>
    </row>
    <row r="15" spans="2:5" x14ac:dyDescent="0.2">
      <c r="B15" s="39"/>
      <c r="C15" s="39"/>
      <c r="D15" s="39"/>
      <c r="E15" s="39"/>
    </row>
    <row r="16" spans="2:5" x14ac:dyDescent="0.2">
      <c r="B16" s="3" t="s">
        <v>275</v>
      </c>
      <c r="C16" s="3" t="s">
        <v>155</v>
      </c>
      <c r="D16" s="3"/>
      <c r="E16" s="3"/>
    </row>
    <row r="17" spans="2:5" x14ac:dyDescent="0.2">
      <c r="B17" s="38"/>
      <c r="C17" s="38"/>
      <c r="D17" s="38"/>
      <c r="E17" s="326" t="s">
        <v>454</v>
      </c>
    </row>
    <row r="18" spans="2:5" x14ac:dyDescent="0.2">
      <c r="B18" s="5" t="s">
        <v>275</v>
      </c>
      <c r="C18" s="5" t="s">
        <v>131</v>
      </c>
      <c r="D18" s="90" t="s">
        <v>449</v>
      </c>
      <c r="E18" s="5" t="s">
        <v>263</v>
      </c>
    </row>
    <row r="19" spans="2:5" x14ac:dyDescent="0.2">
      <c r="B19" s="39"/>
      <c r="C19" s="39"/>
      <c r="D19" s="39"/>
      <c r="E19" s="39"/>
    </row>
    <row r="20" spans="2:5" x14ac:dyDescent="0.2">
      <c r="B20" s="3" t="s">
        <v>213</v>
      </c>
      <c r="C20" s="3" t="s">
        <v>57</v>
      </c>
      <c r="D20" s="3" t="s">
        <v>119</v>
      </c>
      <c r="E20" s="438" t="s">
        <v>456</v>
      </c>
    </row>
    <row r="21" spans="2:5" ht="12" customHeight="1" x14ac:dyDescent="0.2">
      <c r="B21" s="38"/>
      <c r="C21" s="38"/>
      <c r="D21" s="38"/>
      <c r="E21" s="38"/>
    </row>
    <row r="22" spans="2:5" ht="12" customHeight="1" x14ac:dyDescent="0.2">
      <c r="B22" s="5" t="s">
        <v>288</v>
      </c>
      <c r="C22" s="5" t="s">
        <v>293</v>
      </c>
      <c r="D22" s="5" t="s">
        <v>28</v>
      </c>
      <c r="E22" s="5"/>
    </row>
    <row r="23" spans="2:5" x14ac:dyDescent="0.2">
      <c r="B23" s="40" t="s">
        <v>58</v>
      </c>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sheetData>
  <customSheetViews>
    <customSheetView guid="{5519EDA0-AC19-11DC-BDFC-0017F2D6B148}" showPageBreaks="1" view="pageLayout">
      <selection activeCell="C26" sqref="C26"/>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93" orientation="portrait" r:id="rId1"/>
  <headerFooter alignWithMargins="0">
    <oddFooter>&amp;L&amp;A&amp;C                &amp;F&amp;R&amp;D</oddFooter>
  </headerFooter>
  <colBreaks count="1" manualBreakCount="1">
    <brk id="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7"/>
  <sheetViews>
    <sheetView zoomScaleNormal="100" workbookViewId="0"/>
  </sheetViews>
  <sheetFormatPr defaultColWidth="8.7109375" defaultRowHeight="12.75" x14ac:dyDescent="0.2"/>
  <cols>
    <col min="1" max="1" width="3.140625" style="40" customWidth="1"/>
    <col min="2" max="2" width="28"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s="40" customFormat="1" ht="9" customHeight="1" x14ac:dyDescent="0.2">
      <c r="D7" s="58"/>
      <c r="F7" s="41"/>
      <c r="H7" s="58"/>
    </row>
    <row r="8" spans="1:44" s="92" customFormat="1" ht="31.5" customHeight="1" x14ac:dyDescent="0.25">
      <c r="A8" s="91"/>
      <c r="B8" s="576" t="s">
        <v>527</v>
      </c>
      <c r="C8" s="572"/>
      <c r="D8" s="572"/>
      <c r="E8" s="572"/>
      <c r="F8" s="572"/>
      <c r="G8" s="572"/>
      <c r="H8" s="572"/>
      <c r="I8" s="572"/>
      <c r="J8" s="572"/>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223"/>
      <c r="C10" s="223"/>
      <c r="D10" s="224" t="s">
        <v>249</v>
      </c>
      <c r="E10" s="224"/>
      <c r="F10" s="225"/>
      <c r="G10" s="224"/>
      <c r="H10" s="224" t="s">
        <v>250</v>
      </c>
      <c r="I10" s="224"/>
      <c r="J10" s="226"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252</v>
      </c>
      <c r="C11" s="220"/>
      <c r="D11" s="87" t="s">
        <v>156</v>
      </c>
      <c r="E11" s="87"/>
      <c r="F11" s="221" t="s">
        <v>157</v>
      </c>
      <c r="G11" s="87"/>
      <c r="H11" s="87" t="s">
        <v>5</v>
      </c>
      <c r="I11" s="87"/>
      <c r="J11" s="222"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2"/>
      <c r="C12" s="3"/>
      <c r="D12" s="2"/>
      <c r="E12" s="3"/>
      <c r="F12" s="4"/>
      <c r="G12" s="3"/>
      <c r="H12" s="2"/>
      <c r="I12" s="3"/>
      <c r="J12" s="5"/>
      <c r="K12" s="1"/>
    </row>
    <row r="13" spans="1:44" x14ac:dyDescent="0.2">
      <c r="B13" s="6" t="s">
        <v>199</v>
      </c>
      <c r="C13" s="7"/>
      <c r="D13" s="44"/>
      <c r="E13" s="7"/>
      <c r="F13" s="8"/>
      <c r="G13" s="7"/>
      <c r="H13" s="44"/>
      <c r="I13" s="7"/>
      <c r="J13" s="9"/>
    </row>
    <row r="14" spans="1:44" x14ac:dyDescent="0.2">
      <c r="B14" s="10" t="s">
        <v>235</v>
      </c>
      <c r="C14" s="11"/>
      <c r="D14" s="380">
        <v>1.5</v>
      </c>
      <c r="E14" s="11"/>
      <c r="F14" s="12" t="s">
        <v>236</v>
      </c>
      <c r="G14" s="11"/>
      <c r="H14" s="364">
        <f>Summary!E19</f>
        <v>92</v>
      </c>
      <c r="I14" s="11"/>
      <c r="J14" s="13">
        <f>D14*H14</f>
        <v>138</v>
      </c>
      <c r="K14" s="14"/>
      <c r="M14" s="48"/>
      <c r="N14" s="48"/>
      <c r="O14" s="48"/>
      <c r="P14" s="48"/>
      <c r="Q14" s="48"/>
    </row>
    <row r="15" spans="1:44" ht="3.75" customHeight="1" x14ac:dyDescent="0.2">
      <c r="B15" s="11"/>
      <c r="C15" s="11"/>
      <c r="D15" s="72"/>
      <c r="E15" s="11"/>
      <c r="F15" s="15"/>
      <c r="G15" s="11"/>
      <c r="H15" s="77"/>
      <c r="I15" s="11"/>
      <c r="J15" s="13"/>
      <c r="K15" s="14"/>
    </row>
    <row r="16" spans="1:44" x14ac:dyDescent="0.2">
      <c r="B16" s="6" t="s">
        <v>167</v>
      </c>
      <c r="C16" s="7"/>
      <c r="D16" s="44"/>
      <c r="E16" s="7"/>
      <c r="F16" s="8"/>
      <c r="G16" s="7"/>
      <c r="H16" s="61"/>
      <c r="I16" s="7"/>
      <c r="J16" s="16"/>
    </row>
    <row r="17" spans="1:33" ht="0.75" customHeight="1" x14ac:dyDescent="0.2">
      <c r="B17" s="7"/>
      <c r="C17" s="7"/>
      <c r="D17" s="44"/>
      <c r="E17" s="7"/>
      <c r="F17" s="8"/>
      <c r="G17" s="7"/>
      <c r="H17" s="61"/>
      <c r="I17" s="7"/>
      <c r="J17" s="16"/>
    </row>
    <row r="18" spans="1:33" ht="15.75" x14ac:dyDescent="0.25">
      <c r="B18" s="52" t="s">
        <v>200</v>
      </c>
      <c r="C18" s="7"/>
      <c r="D18" s="66"/>
      <c r="E18" s="7"/>
      <c r="F18" s="8"/>
      <c r="G18" s="7"/>
      <c r="H18" s="61"/>
      <c r="I18" s="7"/>
      <c r="J18" s="325">
        <f>SUM(J19:J19)</f>
        <v>22.1</v>
      </c>
    </row>
    <row r="19" spans="1:33" x14ac:dyDescent="0.2">
      <c r="B19" s="10" t="s">
        <v>237</v>
      </c>
      <c r="C19" s="11"/>
      <c r="D19" s="361">
        <v>85</v>
      </c>
      <c r="E19" s="11"/>
      <c r="F19" s="12" t="s">
        <v>189</v>
      </c>
      <c r="G19" s="11"/>
      <c r="H19" s="356">
        <f>Barley</f>
        <v>0.26</v>
      </c>
      <c r="I19" s="11"/>
      <c r="J19" s="13">
        <f>D19*H19</f>
        <v>22.1</v>
      </c>
    </row>
    <row r="20" spans="1:33" ht="5.0999999999999996" customHeight="1" x14ac:dyDescent="0.2">
      <c r="B20" s="7"/>
      <c r="C20" s="7"/>
      <c r="D20" s="44"/>
      <c r="E20" s="7"/>
      <c r="F20" s="8"/>
      <c r="G20" s="7"/>
      <c r="H20" s="61"/>
      <c r="I20" s="7"/>
      <c r="J20" s="16"/>
    </row>
    <row r="21" spans="1:33" x14ac:dyDescent="0.2">
      <c r="B21" s="52" t="s">
        <v>212</v>
      </c>
      <c r="C21" s="7"/>
      <c r="D21" s="44"/>
      <c r="E21" s="7"/>
      <c r="F21" s="8"/>
      <c r="G21" s="7"/>
      <c r="H21" s="61"/>
      <c r="I21" s="7"/>
      <c r="J21" s="325">
        <f>SUM(J24:J26)</f>
        <v>63.149999999999991</v>
      </c>
      <c r="M21" s="42"/>
    </row>
    <row r="22" spans="1:33" s="50" customFormat="1" x14ac:dyDescent="0.2">
      <c r="A22" s="68"/>
      <c r="B22" s="315" t="s">
        <v>343</v>
      </c>
      <c r="C22" s="69"/>
      <c r="D22" s="75"/>
      <c r="E22" s="69"/>
      <c r="F22" s="70"/>
      <c r="G22" s="69"/>
      <c r="H22" s="316"/>
      <c r="I22" s="69"/>
      <c r="J22" s="31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417</v>
      </c>
      <c r="C24" s="7"/>
      <c r="D24" s="361">
        <v>80</v>
      </c>
      <c r="E24" s="7"/>
      <c r="F24" s="19" t="s">
        <v>189</v>
      </c>
      <c r="G24" s="7"/>
      <c r="H24" s="356">
        <f>Nitrogen</f>
        <v>0.59</v>
      </c>
      <c r="I24" s="7"/>
      <c r="J24" s="20">
        <f>D24*H24</f>
        <v>47.199999999999996</v>
      </c>
    </row>
    <row r="25" spans="1:33" x14ac:dyDescent="0.2">
      <c r="B25" s="55" t="s">
        <v>399</v>
      </c>
      <c r="C25" s="7"/>
      <c r="D25" s="361">
        <v>15</v>
      </c>
      <c r="E25" s="7"/>
      <c r="F25" s="19" t="s">
        <v>189</v>
      </c>
      <c r="G25" s="7"/>
      <c r="H25" s="356">
        <f>Phosphorous</f>
        <v>0.71</v>
      </c>
      <c r="I25" s="7"/>
      <c r="J25" s="20">
        <f>D25*H25</f>
        <v>10.649999999999999</v>
      </c>
    </row>
    <row r="26" spans="1:33" x14ac:dyDescent="0.2">
      <c r="B26" s="55" t="s">
        <v>418</v>
      </c>
      <c r="C26" s="7"/>
      <c r="D26" s="361">
        <v>10</v>
      </c>
      <c r="E26" s="7"/>
      <c r="F26" s="19" t="s">
        <v>189</v>
      </c>
      <c r="G26" s="7"/>
      <c r="H26" s="356">
        <f>Sulfur</f>
        <v>0.53</v>
      </c>
      <c r="I26" s="7"/>
      <c r="J26" s="16">
        <f>D26*H26</f>
        <v>5.3000000000000007</v>
      </c>
    </row>
    <row r="27" spans="1:33" ht="5.0999999999999996" customHeight="1" x14ac:dyDescent="0.2">
      <c r="B27" s="7"/>
      <c r="C27" s="7"/>
      <c r="D27" s="44"/>
      <c r="E27" s="7"/>
      <c r="F27" s="8"/>
      <c r="G27" s="7"/>
      <c r="H27" s="61"/>
      <c r="I27" s="7"/>
      <c r="J27" s="20"/>
    </row>
    <row r="28" spans="1:33" x14ac:dyDescent="0.2">
      <c r="B28" s="52" t="s">
        <v>181</v>
      </c>
      <c r="C28" s="7"/>
      <c r="D28" s="44"/>
      <c r="E28" s="7"/>
      <c r="F28" s="8"/>
      <c r="G28" s="7"/>
      <c r="H28" s="61"/>
      <c r="I28" s="7"/>
      <c r="J28" s="324">
        <f>SUM(J32:J36)</f>
        <v>32.304000000000002</v>
      </c>
    </row>
    <row r="29" spans="1:33" s="50" customFormat="1" x14ac:dyDescent="0.2">
      <c r="A29" s="68"/>
      <c r="B29" s="315" t="s">
        <v>346</v>
      </c>
      <c r="C29" s="69"/>
      <c r="D29" s="75"/>
      <c r="E29" s="69"/>
      <c r="F29" s="70"/>
      <c r="G29" s="69"/>
      <c r="H29" s="316"/>
      <c r="I29" s="69"/>
      <c r="J29" s="319"/>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5" t="s">
        <v>347</v>
      </c>
      <c r="C30" s="69"/>
      <c r="D30" s="75"/>
      <c r="E30" s="69"/>
      <c r="F30" s="70"/>
      <c r="G30" s="69"/>
      <c r="H30" s="316"/>
      <c r="I30" s="69"/>
      <c r="J30" s="319"/>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348</v>
      </c>
      <c r="C31" s="69"/>
      <c r="D31" s="75"/>
      <c r="E31" s="69"/>
      <c r="F31" s="70"/>
      <c r="G31" s="69"/>
      <c r="H31" s="316"/>
      <c r="I31" s="69"/>
      <c r="J31" s="319"/>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18" t="s">
        <v>276</v>
      </c>
      <c r="C32" s="7"/>
      <c r="D32" s="361">
        <v>24</v>
      </c>
      <c r="E32" s="7"/>
      <c r="F32" s="19" t="s">
        <v>191</v>
      </c>
      <c r="G32" s="7"/>
      <c r="H32" s="356">
        <f>Glyphosphate</f>
        <v>0.18</v>
      </c>
      <c r="I32" s="7"/>
      <c r="J32" s="20">
        <f>D32*H32</f>
        <v>4.32</v>
      </c>
    </row>
    <row r="33" spans="2:10" x14ac:dyDescent="0.2">
      <c r="B33" s="18" t="s">
        <v>277</v>
      </c>
      <c r="C33" s="7"/>
      <c r="D33" s="369">
        <v>6.4</v>
      </c>
      <c r="E33" s="7"/>
      <c r="F33" s="19" t="s">
        <v>191</v>
      </c>
      <c r="G33" s="7"/>
      <c r="H33" s="356">
        <f>surf</f>
        <v>0.23</v>
      </c>
      <c r="I33" s="7"/>
      <c r="J33" s="20">
        <f>D33*H33</f>
        <v>1.4720000000000002</v>
      </c>
    </row>
    <row r="34" spans="2:10" ht="11.25" customHeight="1" x14ac:dyDescent="0.2">
      <c r="B34" s="18" t="s">
        <v>162</v>
      </c>
      <c r="C34" s="7"/>
      <c r="D34" s="369">
        <v>1.7</v>
      </c>
      <c r="E34" s="7"/>
      <c r="F34" s="19" t="s">
        <v>189</v>
      </c>
      <c r="G34" s="7"/>
      <c r="H34" s="356">
        <f>AmmoniaS</f>
        <v>0.22</v>
      </c>
      <c r="I34" s="7"/>
      <c r="J34" s="20">
        <f>D34*H34</f>
        <v>0.374</v>
      </c>
    </row>
    <row r="35" spans="2:10" x14ac:dyDescent="0.2">
      <c r="B35" s="18" t="s">
        <v>134</v>
      </c>
      <c r="C35" s="7"/>
      <c r="D35" s="369">
        <v>8.1999999999999993</v>
      </c>
      <c r="E35" s="7"/>
      <c r="F35" s="19" t="s">
        <v>191</v>
      </c>
      <c r="G35" s="7"/>
      <c r="H35" s="356">
        <f>Axial</f>
        <v>1.39</v>
      </c>
      <c r="I35" s="7"/>
      <c r="J35" s="20">
        <f>D35*H35</f>
        <v>11.397999999999998</v>
      </c>
    </row>
    <row r="36" spans="2:10" x14ac:dyDescent="0.2">
      <c r="B36" s="55" t="s">
        <v>475</v>
      </c>
      <c r="C36" s="7"/>
      <c r="D36" s="361">
        <v>22</v>
      </c>
      <c r="E36" s="7"/>
      <c r="F36" s="19" t="s">
        <v>191</v>
      </c>
      <c r="G36" s="7"/>
      <c r="H36" s="356">
        <f>Starane</f>
        <v>0.67</v>
      </c>
      <c r="I36" s="7"/>
      <c r="J36" s="20">
        <f>D36*H36</f>
        <v>14.74</v>
      </c>
    </row>
    <row r="37" spans="2:10" ht="5.25" customHeight="1" x14ac:dyDescent="0.2">
      <c r="B37" s="7"/>
      <c r="C37" s="7"/>
      <c r="D37" s="59"/>
      <c r="E37" s="7"/>
      <c r="F37" s="8"/>
      <c r="G37" s="7"/>
      <c r="H37" s="61"/>
      <c r="I37" s="7"/>
      <c r="J37" s="20"/>
    </row>
    <row r="38" spans="2:10" x14ac:dyDescent="0.2">
      <c r="B38" s="52" t="s">
        <v>50</v>
      </c>
      <c r="C38" s="7"/>
      <c r="D38" s="73"/>
      <c r="E38" s="7"/>
      <c r="F38" s="8"/>
      <c r="G38" s="7"/>
      <c r="H38" s="61"/>
      <c r="I38" s="7"/>
      <c r="J38" s="324">
        <f>SUM(J39:J42)</f>
        <v>51.664236302371179</v>
      </c>
    </row>
    <row r="39" spans="2:10" x14ac:dyDescent="0.2">
      <c r="B39" s="33" t="s">
        <v>284</v>
      </c>
      <c r="C39" s="7"/>
      <c r="D39" s="353">
        <f>'Machinery Costs'!$M$149</f>
        <v>10.345915492957745</v>
      </c>
      <c r="E39" s="7"/>
      <c r="F39" s="19" t="s">
        <v>286</v>
      </c>
      <c r="G39" s="7"/>
      <c r="H39" s="356">
        <f>Diesel</f>
        <v>2</v>
      </c>
      <c r="I39" s="7"/>
      <c r="J39" s="20">
        <f>D39*H39</f>
        <v>20.691830985915491</v>
      </c>
    </row>
    <row r="40" spans="2:10" x14ac:dyDescent="0.2">
      <c r="B40" s="33" t="s">
        <v>285</v>
      </c>
      <c r="C40" s="7"/>
      <c r="D40" s="43">
        <v>1</v>
      </c>
      <c r="E40" s="7"/>
      <c r="F40" s="19" t="s">
        <v>190</v>
      </c>
      <c r="G40" s="7"/>
      <c r="H40" s="354">
        <f>'Machinery Costs'!$I$149</f>
        <v>3.2109999999999999</v>
      </c>
      <c r="I40" s="7"/>
      <c r="J40" s="20">
        <f>D40*H40</f>
        <v>3.2109999999999999</v>
      </c>
    </row>
    <row r="41" spans="2:10" x14ac:dyDescent="0.2">
      <c r="B41" s="33" t="s">
        <v>91</v>
      </c>
      <c r="C41" s="7"/>
      <c r="D41" s="43">
        <v>1</v>
      </c>
      <c r="E41" s="7"/>
      <c r="F41" s="19" t="s">
        <v>190</v>
      </c>
      <c r="G41" s="7"/>
      <c r="H41" s="354">
        <f>'Machinery Costs'!$G$149</f>
        <v>7.968</v>
      </c>
      <c r="I41" s="7"/>
      <c r="J41" s="20">
        <f>D41*H41</f>
        <v>7.968</v>
      </c>
    </row>
    <row r="42" spans="2:10" x14ac:dyDescent="0.2">
      <c r="B42" s="33" t="s">
        <v>173</v>
      </c>
      <c r="C42" s="7"/>
      <c r="D42" s="353">
        <f>'Machinery Costs'!$L$149</f>
        <v>0.98967026582278472</v>
      </c>
      <c r="E42" s="7"/>
      <c r="F42" s="312" t="s">
        <v>184</v>
      </c>
      <c r="G42" s="7"/>
      <c r="H42" s="356">
        <f>Labor</f>
        <v>20</v>
      </c>
      <c r="I42" s="7"/>
      <c r="J42" s="20">
        <f>D42*H42</f>
        <v>19.793405316455694</v>
      </c>
    </row>
    <row r="43" spans="2:10" ht="5.25" customHeight="1" x14ac:dyDescent="0.2">
      <c r="B43" s="7"/>
      <c r="C43" s="7"/>
      <c r="D43" s="44"/>
      <c r="E43" s="7"/>
      <c r="F43" s="8"/>
      <c r="G43" s="7"/>
      <c r="H43" s="61"/>
      <c r="I43" s="7"/>
      <c r="J43" s="20"/>
    </row>
    <row r="44" spans="2:10" x14ac:dyDescent="0.2">
      <c r="B44" s="52" t="s">
        <v>152</v>
      </c>
      <c r="C44" s="7"/>
      <c r="D44" s="73"/>
      <c r="E44" s="7"/>
      <c r="F44" s="8"/>
      <c r="G44" s="7"/>
      <c r="H44" s="61"/>
      <c r="I44" s="7"/>
      <c r="J44" s="324">
        <f>SUM(J45:J46)</f>
        <v>2.5</v>
      </c>
    </row>
    <row r="45" spans="2:10" x14ac:dyDescent="0.2">
      <c r="B45" s="18" t="s">
        <v>261</v>
      </c>
      <c r="C45" s="7"/>
      <c r="D45" s="361">
        <v>0</v>
      </c>
      <c r="E45" s="7"/>
      <c r="F45" s="19" t="s">
        <v>190</v>
      </c>
      <c r="G45" s="7"/>
      <c r="H45" s="356">
        <f>Sprayer</f>
        <v>2</v>
      </c>
      <c r="I45" s="7"/>
      <c r="J45" s="20">
        <f>D45*H45</f>
        <v>0</v>
      </c>
    </row>
    <row r="46" spans="2:10" x14ac:dyDescent="0.2">
      <c r="B46" s="18" t="s">
        <v>195</v>
      </c>
      <c r="C46" s="7"/>
      <c r="D46" s="361">
        <v>1</v>
      </c>
      <c r="E46" s="7"/>
      <c r="F46" s="19" t="s">
        <v>190</v>
      </c>
      <c r="G46" s="7"/>
      <c r="H46" s="356">
        <f>Shooter</f>
        <v>2.5</v>
      </c>
      <c r="I46" s="7"/>
      <c r="J46" s="20">
        <f>D46*H46</f>
        <v>2.5</v>
      </c>
    </row>
    <row r="47" spans="2:10" ht="5.25" customHeight="1" x14ac:dyDescent="0.2">
      <c r="B47" s="7"/>
      <c r="C47" s="7"/>
      <c r="D47" s="44"/>
      <c r="E47" s="7"/>
      <c r="F47" s="8"/>
      <c r="G47" s="7"/>
      <c r="H47" s="61"/>
      <c r="I47" s="7"/>
      <c r="J47" s="20"/>
    </row>
    <row r="48" spans="2:10" x14ac:dyDescent="0.2">
      <c r="B48" s="52" t="s">
        <v>153</v>
      </c>
      <c r="C48" s="7"/>
      <c r="D48" s="44"/>
      <c r="E48" s="7"/>
      <c r="F48" s="8"/>
      <c r="G48" s="7"/>
      <c r="H48" s="61"/>
      <c r="I48" s="7"/>
      <c r="J48" s="324">
        <f>SUM(J49:J51)</f>
        <v>16</v>
      </c>
    </row>
    <row r="49" spans="1:33" x14ac:dyDescent="0.2">
      <c r="B49" s="18" t="s">
        <v>192</v>
      </c>
      <c r="C49" s="7"/>
      <c r="D49" s="43">
        <v>1</v>
      </c>
      <c r="E49" s="7"/>
      <c r="F49" s="19" t="s">
        <v>190</v>
      </c>
      <c r="G49" s="7"/>
      <c r="H49" s="358">
        <v>16</v>
      </c>
      <c r="I49" s="7"/>
      <c r="J49" s="20">
        <f>D49*H49</f>
        <v>16</v>
      </c>
    </row>
    <row r="50" spans="1:33" x14ac:dyDescent="0.2">
      <c r="B50" s="33" t="s">
        <v>172</v>
      </c>
      <c r="C50" s="7"/>
      <c r="D50" s="43"/>
      <c r="E50" s="7"/>
      <c r="F50" s="19"/>
      <c r="G50" s="7"/>
      <c r="H50" s="45"/>
      <c r="I50" s="7"/>
      <c r="J50" s="20">
        <f>D50*H50</f>
        <v>0</v>
      </c>
    </row>
    <row r="51" spans="1:33" x14ac:dyDescent="0.2">
      <c r="A51" s="197"/>
      <c r="B51" s="33" t="s">
        <v>240</v>
      </c>
      <c r="C51" s="7"/>
      <c r="D51" s="193"/>
      <c r="E51" s="7"/>
      <c r="F51" s="19"/>
      <c r="G51" s="7"/>
      <c r="H51" s="45"/>
      <c r="I51" s="7"/>
      <c r="J51" s="20"/>
      <c r="L51" s="197"/>
      <c r="M51" s="197"/>
      <c r="N51" s="197"/>
      <c r="O51" s="197"/>
      <c r="P51" s="197"/>
      <c r="Q51" s="197"/>
      <c r="R51" s="197"/>
      <c r="S51" s="197"/>
      <c r="T51" s="197"/>
      <c r="U51" s="197"/>
      <c r="V51" s="197"/>
      <c r="W51" s="197"/>
      <c r="X51" s="197"/>
      <c r="Y51" s="197"/>
      <c r="Z51" s="197"/>
      <c r="AA51" s="197"/>
      <c r="AB51" s="197"/>
      <c r="AC51" s="197"/>
      <c r="AD51" s="197"/>
      <c r="AE51" s="197"/>
      <c r="AF51" s="197"/>
      <c r="AG51" s="197"/>
    </row>
    <row r="52" spans="1:33" ht="5.0999999999999996" customHeight="1" x14ac:dyDescent="0.2">
      <c r="B52" s="7"/>
      <c r="C52" s="7"/>
      <c r="D52" s="44"/>
      <c r="E52" s="7"/>
      <c r="F52" s="8"/>
      <c r="G52" s="7"/>
      <c r="H52" s="44"/>
      <c r="I52" s="7"/>
      <c r="J52" s="20"/>
    </row>
    <row r="53" spans="1:33" ht="14.25" x14ac:dyDescent="0.2">
      <c r="B53" s="69" t="s">
        <v>329</v>
      </c>
      <c r="C53" s="7"/>
      <c r="D53" s="44"/>
      <c r="E53" s="7"/>
      <c r="F53" s="8"/>
      <c r="G53" s="7"/>
      <c r="H53" s="44"/>
      <c r="I53" s="7"/>
      <c r="J53" s="20">
        <f>+(J18+J21+J28+J38+J44+J48)*operloan*0.5</f>
        <v>5.3968992936931715</v>
      </c>
    </row>
    <row r="54" spans="1:33" ht="5.25" customHeight="1" x14ac:dyDescent="0.2">
      <c r="B54" s="7"/>
      <c r="C54" s="7"/>
      <c r="D54" s="44"/>
      <c r="E54" s="7"/>
      <c r="F54" s="8"/>
      <c r="G54" s="7"/>
      <c r="H54" s="44"/>
      <c r="I54" s="7"/>
      <c r="J54" s="20"/>
    </row>
    <row r="55" spans="1:33" x14ac:dyDescent="0.2">
      <c r="B55" s="52" t="s">
        <v>232</v>
      </c>
      <c r="C55" s="52"/>
      <c r="D55" s="65"/>
      <c r="E55" s="52"/>
      <c r="F55" s="53"/>
      <c r="G55" s="52"/>
      <c r="H55" s="65"/>
      <c r="I55" s="52"/>
      <c r="J55" s="54">
        <f>SUM(J18:J53)-(J18+J21+J28+J38+J44+J48)</f>
        <v>193.11513559606442</v>
      </c>
    </row>
    <row r="56" spans="1:33" x14ac:dyDescent="0.2">
      <c r="B56" s="7" t="s">
        <v>233</v>
      </c>
      <c r="C56" s="7"/>
      <c r="D56" s="44"/>
      <c r="E56" s="7"/>
      <c r="F56" s="8"/>
      <c r="G56" s="7"/>
      <c r="H56" s="44"/>
      <c r="I56" s="7"/>
      <c r="J56" s="20">
        <f>J55/D14</f>
        <v>128.74342373070962</v>
      </c>
    </row>
    <row r="57" spans="1:33" ht="5.25" customHeight="1" x14ac:dyDescent="0.2">
      <c r="B57" s="7"/>
      <c r="C57" s="7"/>
      <c r="D57" s="44"/>
      <c r="E57" s="7"/>
      <c r="F57" s="8"/>
      <c r="G57" s="7"/>
      <c r="H57" s="44"/>
      <c r="I57" s="7"/>
      <c r="J57" s="20"/>
    </row>
    <row r="58" spans="1:33" s="47" customFormat="1" x14ac:dyDescent="0.2">
      <c r="A58" s="46"/>
      <c r="B58" s="62" t="s">
        <v>234</v>
      </c>
      <c r="C58" s="62"/>
      <c r="D58" s="63"/>
      <c r="E58" s="62"/>
      <c r="F58" s="64"/>
      <c r="G58" s="62"/>
      <c r="H58" s="63"/>
      <c r="I58" s="62"/>
      <c r="J58" s="96">
        <f>J14-J55</f>
        <v>-55.11513559606442</v>
      </c>
      <c r="L58" s="46"/>
      <c r="M58" s="46"/>
      <c r="N58" s="46"/>
      <c r="O58" s="46"/>
      <c r="P58" s="46"/>
      <c r="Q58" s="46"/>
      <c r="R58" s="46"/>
      <c r="S58" s="46"/>
      <c r="T58" s="46"/>
      <c r="U58" s="46"/>
      <c r="V58" s="46"/>
      <c r="W58" s="46"/>
      <c r="X58" s="46"/>
      <c r="Y58" s="46"/>
      <c r="Z58" s="46"/>
      <c r="AA58" s="46"/>
      <c r="AB58" s="46"/>
      <c r="AC58" s="46"/>
      <c r="AD58" s="46"/>
      <c r="AE58" s="46"/>
      <c r="AF58" s="46"/>
      <c r="AG58" s="46"/>
    </row>
    <row r="59" spans="1:33" ht="24.75" customHeight="1" x14ac:dyDescent="0.2">
      <c r="B59" s="6" t="s">
        <v>325</v>
      </c>
      <c r="C59" s="7"/>
      <c r="D59" s="44"/>
      <c r="E59" s="7"/>
      <c r="F59" s="8"/>
      <c r="G59" s="7"/>
      <c r="H59" s="44"/>
      <c r="I59" s="7"/>
      <c r="J59" s="20"/>
    </row>
    <row r="60" spans="1:33" x14ac:dyDescent="0.2">
      <c r="B60" s="570" t="s">
        <v>485</v>
      </c>
      <c r="C60" s="570"/>
      <c r="D60" s="570"/>
      <c r="E60" s="7"/>
      <c r="F60" s="19" t="s">
        <v>190</v>
      </c>
      <c r="G60" s="7"/>
      <c r="H60" s="354">
        <f>'Machinery Costs'!$C$149</f>
        <v>15.219999999999999</v>
      </c>
      <c r="I60" s="7"/>
      <c r="J60" s="20">
        <f>H60</f>
        <v>15.219999999999999</v>
      </c>
    </row>
    <row r="61" spans="1:33" x14ac:dyDescent="0.2">
      <c r="B61" s="570" t="s">
        <v>486</v>
      </c>
      <c r="C61" s="570"/>
      <c r="D61" s="570"/>
      <c r="E61" s="7"/>
      <c r="F61" s="19" t="s">
        <v>190</v>
      </c>
      <c r="G61" s="7"/>
      <c r="H61" s="354">
        <f>'Machinery Costs'!$D$149</f>
        <v>11.461</v>
      </c>
      <c r="I61" s="7"/>
      <c r="J61" s="20">
        <f>H61</f>
        <v>11.461</v>
      </c>
    </row>
    <row r="62" spans="1:33" x14ac:dyDescent="0.2">
      <c r="B62" s="570" t="s">
        <v>487</v>
      </c>
      <c r="C62" s="570"/>
      <c r="D62" s="570"/>
      <c r="E62" s="7"/>
      <c r="F62" s="19" t="s">
        <v>190</v>
      </c>
      <c r="G62" s="7"/>
      <c r="H62" s="354">
        <f>'Machinery Costs'!$E$149</f>
        <v>4.9529999999999985</v>
      </c>
      <c r="I62" s="7"/>
      <c r="J62" s="20">
        <f>H62</f>
        <v>4.9529999999999985</v>
      </c>
    </row>
    <row r="63" spans="1:33" x14ac:dyDescent="0.2">
      <c r="B63" s="18" t="s">
        <v>266</v>
      </c>
      <c r="C63" s="7"/>
      <c r="D63" s="7"/>
      <c r="E63" s="7"/>
      <c r="F63" s="19" t="s">
        <v>190</v>
      </c>
      <c r="G63" s="7"/>
      <c r="H63" s="79">
        <f>ROUND((D14*H14)*D65-(J21+J28+H49)*D65, 0)</f>
        <v>9</v>
      </c>
      <c r="I63" s="7"/>
      <c r="J63" s="20">
        <f>+H63</f>
        <v>9</v>
      </c>
    </row>
    <row r="64" spans="1:33" ht="12.75" customHeight="1" x14ac:dyDescent="0.2">
      <c r="B64" s="7" t="s">
        <v>267</v>
      </c>
      <c r="C64" s="7"/>
      <c r="D64" s="44"/>
      <c r="E64" s="7"/>
      <c r="F64" s="8"/>
      <c r="G64" s="7"/>
      <c r="H64" s="93"/>
      <c r="I64" s="7"/>
      <c r="J64" s="20"/>
    </row>
    <row r="65" spans="1:33" ht="12.75" customHeight="1" x14ac:dyDescent="0.2">
      <c r="B65" s="7" t="s">
        <v>268</v>
      </c>
      <c r="C65" s="7"/>
      <c r="D65" s="372">
        <f>OwnerShare</f>
        <v>0.33</v>
      </c>
      <c r="E65" s="7"/>
      <c r="F65" s="8"/>
      <c r="G65" s="7"/>
      <c r="H65" s="61"/>
      <c r="I65" s="7"/>
      <c r="J65" s="20"/>
    </row>
    <row r="66" spans="1:33" ht="12.75" customHeight="1" x14ac:dyDescent="0.2">
      <c r="B66" s="7" t="s">
        <v>269</v>
      </c>
      <c r="C66" s="7"/>
      <c r="D66" s="372">
        <f>OperShare</f>
        <v>0.67</v>
      </c>
      <c r="E66" s="7"/>
      <c r="F66" s="8"/>
      <c r="G66" s="7"/>
      <c r="H66" s="61"/>
      <c r="I66" s="7"/>
      <c r="J66" s="20"/>
    </row>
    <row r="67" spans="1:33" x14ac:dyDescent="0.2">
      <c r="B67" s="51"/>
      <c r="C67" s="51"/>
      <c r="D67" s="74"/>
      <c r="E67" s="51"/>
      <c r="F67" s="74"/>
      <c r="G67" s="7"/>
      <c r="H67" s="44"/>
      <c r="I67" s="7"/>
      <c r="J67" s="20"/>
    </row>
    <row r="68" spans="1:33" ht="14.25" x14ac:dyDescent="0.2">
      <c r="A68" s="197"/>
      <c r="B68" s="147" t="s">
        <v>61</v>
      </c>
      <c r="C68" s="7"/>
      <c r="D68" s="44"/>
      <c r="E68" s="7"/>
      <c r="F68" s="8"/>
      <c r="G68" s="7"/>
      <c r="H68" s="44"/>
      <c r="I68" s="7"/>
      <c r="J68" s="20">
        <f>ROUND(($J$18+$J$21+$J$28+$J$38+$J$44+$J$48)*oh, 0)</f>
        <v>5</v>
      </c>
      <c r="L68" s="197"/>
      <c r="M68" s="197"/>
      <c r="N68" s="197"/>
      <c r="O68" s="197"/>
      <c r="P68" s="197"/>
      <c r="Q68" s="197"/>
      <c r="R68" s="197"/>
      <c r="S68" s="197"/>
      <c r="T68" s="197"/>
      <c r="U68" s="197"/>
      <c r="V68" s="197"/>
      <c r="W68" s="197"/>
      <c r="X68" s="197"/>
      <c r="Y68" s="197"/>
      <c r="Z68" s="197"/>
      <c r="AA68" s="197"/>
      <c r="AB68" s="197"/>
      <c r="AC68" s="197"/>
      <c r="AD68" s="197"/>
      <c r="AE68" s="197"/>
      <c r="AF68" s="197"/>
      <c r="AG68" s="197"/>
    </row>
    <row r="69" spans="1:33" ht="14.25" x14ac:dyDescent="0.2">
      <c r="A69" s="197"/>
      <c r="B69" s="147" t="s">
        <v>330</v>
      </c>
      <c r="C69" s="94"/>
      <c r="D69" s="59"/>
      <c r="E69" s="7"/>
      <c r="F69" s="8"/>
      <c r="G69" s="7"/>
      <c r="H69" s="44"/>
      <c r="I69" s="7"/>
      <c r="J69" s="20">
        <f>ROUND(($J$14)*MF, 0)</f>
        <v>7</v>
      </c>
      <c r="K69" s="197"/>
      <c r="L69" s="197"/>
      <c r="M69" s="197"/>
      <c r="N69" s="197"/>
      <c r="O69" s="197"/>
      <c r="P69" s="197"/>
      <c r="Q69" s="197"/>
      <c r="R69" s="197"/>
      <c r="S69" s="197"/>
      <c r="T69" s="197"/>
      <c r="U69" s="197"/>
      <c r="V69" s="197"/>
      <c r="W69" s="197"/>
      <c r="X69" s="197"/>
      <c r="Y69" s="197"/>
      <c r="Z69" s="197"/>
      <c r="AA69" s="197"/>
      <c r="AB69" s="197"/>
      <c r="AC69" s="197"/>
      <c r="AD69" s="197"/>
      <c r="AE69" s="197"/>
      <c r="AF69" s="197"/>
      <c r="AG69"/>
    </row>
    <row r="70" spans="1:33" ht="5.25" customHeight="1" x14ac:dyDescent="0.2">
      <c r="B70" s="7"/>
      <c r="C70" s="7"/>
      <c r="D70" s="44"/>
      <c r="E70" s="7"/>
      <c r="F70" s="8"/>
      <c r="G70" s="7"/>
      <c r="H70" s="44"/>
      <c r="I70" s="7"/>
      <c r="J70" s="20"/>
    </row>
    <row r="71" spans="1:33" x14ac:dyDescent="0.2">
      <c r="B71" s="52" t="s">
        <v>230</v>
      </c>
      <c r="C71" s="52"/>
      <c r="D71" s="65"/>
      <c r="E71" s="52"/>
      <c r="F71" s="53"/>
      <c r="G71" s="52"/>
      <c r="H71" s="65"/>
      <c r="I71" s="52"/>
      <c r="J71" s="54">
        <f>SUM(J59:J69)</f>
        <v>52.634</v>
      </c>
    </row>
    <row r="72" spans="1:33" x14ac:dyDescent="0.2">
      <c r="B72" s="7" t="s">
        <v>231</v>
      </c>
      <c r="C72" s="7"/>
      <c r="D72" s="44"/>
      <c r="E72" s="7"/>
      <c r="F72" s="8"/>
      <c r="G72" s="7"/>
      <c r="H72" s="44"/>
      <c r="I72" s="7"/>
      <c r="J72" s="20">
        <f>J71/D14</f>
        <v>35.089333333333336</v>
      </c>
    </row>
    <row r="73" spans="1:33" x14ac:dyDescent="0.2">
      <c r="B73" s="7"/>
      <c r="C73" s="7"/>
      <c r="D73" s="44"/>
      <c r="E73" s="7"/>
      <c r="F73" s="8"/>
      <c r="G73" s="7"/>
      <c r="H73" s="44"/>
      <c r="I73" s="7"/>
      <c r="J73" s="20"/>
    </row>
    <row r="74" spans="1:33" x14ac:dyDescent="0.2">
      <c r="B74" s="52" t="s">
        <v>94</v>
      </c>
      <c r="C74" s="52"/>
      <c r="D74" s="65"/>
      <c r="E74" s="52"/>
      <c r="F74" s="53"/>
      <c r="G74" s="52"/>
      <c r="H74" s="65"/>
      <c r="I74" s="52"/>
      <c r="J74" s="54">
        <f>J55+J71</f>
        <v>245.74913559606443</v>
      </c>
    </row>
    <row r="75" spans="1:33" s="50" customFormat="1" x14ac:dyDescent="0.2">
      <c r="A75" s="68"/>
      <c r="B75" s="69" t="s">
        <v>95</v>
      </c>
      <c r="C75" s="69"/>
      <c r="D75" s="75"/>
      <c r="E75" s="69"/>
      <c r="F75" s="70"/>
      <c r="G75" s="69"/>
      <c r="H75" s="75"/>
      <c r="I75" s="69"/>
      <c r="J75" s="20">
        <f>J74/D14</f>
        <v>163.83275706404297</v>
      </c>
      <c r="L75" s="68"/>
      <c r="M75" s="68"/>
      <c r="N75" s="68"/>
      <c r="O75" s="68"/>
      <c r="P75" s="68"/>
      <c r="Q75" s="68"/>
      <c r="R75" s="68"/>
      <c r="S75" s="68"/>
      <c r="T75" s="68"/>
      <c r="U75" s="68"/>
      <c r="V75" s="68"/>
      <c r="W75" s="68"/>
      <c r="X75" s="68"/>
      <c r="Y75" s="68"/>
      <c r="Z75" s="68"/>
      <c r="AA75" s="68"/>
      <c r="AB75" s="68"/>
      <c r="AC75" s="68"/>
      <c r="AD75" s="68"/>
      <c r="AE75" s="68"/>
      <c r="AF75" s="68"/>
      <c r="AG75" s="68"/>
    </row>
    <row r="76" spans="1:33" x14ac:dyDescent="0.2">
      <c r="B76" s="7"/>
      <c r="C76" s="7"/>
      <c r="D76" s="44"/>
      <c r="E76" s="7"/>
      <c r="F76" s="8"/>
      <c r="G76" s="7"/>
      <c r="H76" s="44"/>
      <c r="I76" s="7"/>
      <c r="J76" s="20"/>
    </row>
    <row r="77" spans="1:33" s="47" customFormat="1" x14ac:dyDescent="0.2">
      <c r="A77" s="46"/>
      <c r="B77" s="52" t="s">
        <v>96</v>
      </c>
      <c r="C77" s="52"/>
      <c r="D77" s="65"/>
      <c r="E77" s="52"/>
      <c r="F77" s="53"/>
      <c r="G77" s="52"/>
      <c r="H77" s="65"/>
      <c r="I77" s="52"/>
      <c r="J77" s="54">
        <f>J14-J74</f>
        <v>-107.74913559606443</v>
      </c>
      <c r="L77" s="46"/>
      <c r="M77" s="46"/>
      <c r="N77" s="46"/>
      <c r="O77" s="46"/>
      <c r="P77" s="46"/>
      <c r="Q77" s="46"/>
      <c r="R77" s="46"/>
      <c r="S77" s="46"/>
      <c r="T77" s="46"/>
      <c r="U77" s="46"/>
      <c r="V77" s="46"/>
      <c r="W77" s="46"/>
      <c r="X77" s="46"/>
      <c r="Y77" s="46"/>
      <c r="Z77" s="46"/>
      <c r="AA77" s="46"/>
      <c r="AB77" s="46"/>
      <c r="AC77" s="46"/>
      <c r="AD77" s="46"/>
      <c r="AE77" s="46"/>
      <c r="AF77" s="46"/>
      <c r="AG77" s="46"/>
    </row>
    <row r="78" spans="1:33" x14ac:dyDescent="0.2">
      <c r="B78" s="3"/>
      <c r="C78" s="3"/>
      <c r="D78" s="2"/>
      <c r="E78" s="3"/>
      <c r="F78" s="4"/>
      <c r="G78" s="3"/>
      <c r="H78" s="2"/>
      <c r="I78" s="3"/>
      <c r="J78" s="5"/>
      <c r="K78" s="1"/>
    </row>
    <row r="79" spans="1:33" ht="14.25" x14ac:dyDescent="0.2">
      <c r="B79" s="56" t="s">
        <v>97</v>
      </c>
      <c r="C79" s="56"/>
      <c r="D79" s="76"/>
      <c r="E79" s="56"/>
      <c r="F79" s="57"/>
      <c r="G79" s="56"/>
      <c r="H79" s="76"/>
      <c r="I79" s="56"/>
      <c r="J79" s="56"/>
      <c r="K79" s="14"/>
      <c r="M79" s="563"/>
      <c r="N79" s="563"/>
      <c r="O79" s="563"/>
      <c r="P79" s="563"/>
      <c r="Q79" s="563"/>
      <c r="R79" s="563"/>
      <c r="S79" s="563"/>
      <c r="T79" s="563"/>
      <c r="U79" s="563"/>
    </row>
    <row r="80" spans="1:33" s="457" customFormat="1" ht="15.6" customHeight="1" x14ac:dyDescent="0.2">
      <c r="B80" s="563" t="s">
        <v>466</v>
      </c>
      <c r="C80" s="563"/>
      <c r="D80" s="563"/>
      <c r="E80" s="563"/>
      <c r="F80" s="563"/>
      <c r="G80" s="563"/>
      <c r="H80" s="563"/>
      <c r="I80" s="563"/>
      <c r="J80" s="563"/>
    </row>
    <row r="81" spans="2:10" s="197" customFormat="1" ht="16.5" customHeight="1" x14ac:dyDescent="0.2">
      <c r="B81" s="563" t="s">
        <v>338</v>
      </c>
      <c r="C81" s="563"/>
      <c r="D81" s="563"/>
      <c r="E81" s="563"/>
      <c r="F81" s="563"/>
      <c r="G81" s="563"/>
      <c r="H81" s="563"/>
      <c r="I81" s="563"/>
      <c r="J81" s="563"/>
    </row>
    <row r="82" spans="2:10" s="197" customFormat="1" ht="30" customHeight="1" x14ac:dyDescent="0.2">
      <c r="B82" s="568" t="s">
        <v>339</v>
      </c>
      <c r="C82" s="569"/>
      <c r="D82" s="569"/>
      <c r="E82" s="569"/>
      <c r="F82" s="569"/>
      <c r="G82" s="569"/>
      <c r="H82" s="569"/>
      <c r="I82" s="569"/>
      <c r="J82" s="569"/>
    </row>
    <row r="83" spans="2:10" x14ac:dyDescent="0.2">
      <c r="B83" s="7"/>
      <c r="C83" s="7"/>
      <c r="D83" s="44"/>
      <c r="E83" s="7"/>
      <c r="F83" s="8"/>
      <c r="G83" s="7"/>
      <c r="H83" s="44"/>
      <c r="I83" s="7"/>
      <c r="J83" s="7"/>
    </row>
    <row r="84" spans="2:10" x14ac:dyDescent="0.2">
      <c r="B84" s="22" t="s">
        <v>98</v>
      </c>
      <c r="C84" s="7"/>
      <c r="D84" s="23" t="s">
        <v>99</v>
      </c>
      <c r="E84" s="7"/>
      <c r="F84" s="8"/>
      <c r="G84" s="7"/>
      <c r="H84" s="23" t="s">
        <v>101</v>
      </c>
      <c r="I84" s="7"/>
      <c r="J84" s="7"/>
    </row>
    <row r="85" spans="2:10" x14ac:dyDescent="0.2">
      <c r="B85" s="7"/>
      <c r="C85" s="7"/>
      <c r="D85" s="24">
        <v>0.1</v>
      </c>
      <c r="E85" s="7"/>
      <c r="F85" s="8" t="s">
        <v>100</v>
      </c>
      <c r="G85" s="7"/>
      <c r="H85" s="24">
        <v>0.1</v>
      </c>
      <c r="I85" s="7"/>
      <c r="J85" s="7"/>
    </row>
    <row r="86" spans="2:10" x14ac:dyDescent="0.2">
      <c r="B86" s="7"/>
      <c r="C86" s="7"/>
      <c r="D86" s="25"/>
      <c r="E86" s="3"/>
      <c r="F86" s="2" t="s">
        <v>102</v>
      </c>
      <c r="G86" s="3"/>
      <c r="H86" s="25"/>
      <c r="I86" s="7"/>
      <c r="J86" s="7"/>
    </row>
    <row r="87" spans="2:10" x14ac:dyDescent="0.2">
      <c r="B87" s="26" t="s">
        <v>169</v>
      </c>
      <c r="C87" s="7"/>
      <c r="D87" s="150">
        <f>F87*(1-D85)</f>
        <v>1.35</v>
      </c>
      <c r="E87" s="27"/>
      <c r="F87" s="28">
        <f>D14</f>
        <v>1.5</v>
      </c>
      <c r="G87" s="27"/>
      <c r="H87" s="150">
        <f>F87*(1+H85)</f>
        <v>1.6500000000000001</v>
      </c>
      <c r="I87" s="7"/>
      <c r="J87" s="7"/>
    </row>
    <row r="88" spans="2:10" ht="4.5" customHeight="1" x14ac:dyDescent="0.2">
      <c r="B88" s="7"/>
      <c r="C88" s="7"/>
      <c r="D88" s="44"/>
      <c r="E88" s="7"/>
      <c r="F88" s="8"/>
      <c r="G88" s="7"/>
      <c r="H88" s="44"/>
      <c r="I88" s="7"/>
      <c r="J88" s="7"/>
    </row>
    <row r="89" spans="2:10" x14ac:dyDescent="0.2">
      <c r="B89" s="7" t="s">
        <v>170</v>
      </c>
      <c r="C89" s="7"/>
      <c r="D89" s="29">
        <f>$J$55/D87</f>
        <v>143.04824858967734</v>
      </c>
      <c r="E89" s="7"/>
      <c r="F89" s="29">
        <f>$J$55/F87</f>
        <v>128.74342373070962</v>
      </c>
      <c r="G89" s="7"/>
      <c r="H89" s="29">
        <f>$J$55/H87</f>
        <v>117.03947611882691</v>
      </c>
      <c r="I89" s="7"/>
      <c r="J89" s="7"/>
    </row>
    <row r="90" spans="2:10" ht="4.5" customHeight="1" x14ac:dyDescent="0.2">
      <c r="B90" s="7"/>
      <c r="C90" s="7"/>
      <c r="D90" s="44"/>
      <c r="E90" s="7"/>
      <c r="F90" s="8"/>
      <c r="G90" s="7"/>
      <c r="H90" s="44"/>
      <c r="I90" s="7"/>
      <c r="J90" s="7"/>
    </row>
    <row r="91" spans="2:10" x14ac:dyDescent="0.2">
      <c r="B91" s="7" t="s">
        <v>171</v>
      </c>
      <c r="C91" s="7"/>
      <c r="D91" s="29">
        <f>$J$71/D87</f>
        <v>38.988148148148149</v>
      </c>
      <c r="E91" s="7"/>
      <c r="F91" s="29">
        <f>$J$71/F87</f>
        <v>35.089333333333336</v>
      </c>
      <c r="G91" s="7"/>
      <c r="H91" s="29">
        <f>$J$71/H87</f>
        <v>31.899393939393939</v>
      </c>
      <c r="I91" s="7"/>
      <c r="J91" s="7"/>
    </row>
    <row r="92" spans="2:10" ht="3.75" customHeight="1" x14ac:dyDescent="0.2">
      <c r="B92" s="7"/>
      <c r="C92" s="7"/>
      <c r="D92" s="44"/>
      <c r="E92" s="7"/>
      <c r="F92" s="8"/>
      <c r="G92" s="7"/>
      <c r="H92" s="44"/>
      <c r="I92" s="7"/>
      <c r="J92" s="7"/>
    </row>
    <row r="93" spans="2:10" x14ac:dyDescent="0.2">
      <c r="B93" s="7" t="s">
        <v>188</v>
      </c>
      <c r="C93" s="7"/>
      <c r="D93" s="29">
        <f>$J$74/D87</f>
        <v>182.0363967378255</v>
      </c>
      <c r="E93" s="7"/>
      <c r="F93" s="29">
        <f>$J$74/F87</f>
        <v>163.83275706404297</v>
      </c>
      <c r="G93" s="7"/>
      <c r="H93" s="29">
        <f>$J$74/H87</f>
        <v>148.93887005822086</v>
      </c>
      <c r="I93" s="7"/>
      <c r="J93" s="7"/>
    </row>
    <row r="94" spans="2:10" ht="5.25" customHeight="1" x14ac:dyDescent="0.2">
      <c r="B94" s="11"/>
      <c r="C94" s="11"/>
      <c r="D94" s="72"/>
      <c r="E94" s="11"/>
      <c r="F94" s="15"/>
      <c r="G94" s="11"/>
      <c r="H94" s="72"/>
      <c r="I94" s="11"/>
      <c r="J94" s="11"/>
    </row>
    <row r="95" spans="2:10" ht="12.75" customHeight="1" x14ac:dyDescent="0.2">
      <c r="B95" s="11"/>
      <c r="C95" s="11"/>
      <c r="D95" s="23" t="s">
        <v>99</v>
      </c>
      <c r="E95" s="7"/>
      <c r="F95" s="8"/>
      <c r="G95" s="7"/>
      <c r="H95" s="23" t="s">
        <v>101</v>
      </c>
      <c r="I95" s="11"/>
      <c r="J95" s="11"/>
    </row>
    <row r="96" spans="2:10" x14ac:dyDescent="0.2">
      <c r="B96" s="7"/>
      <c r="C96" s="7"/>
      <c r="D96" s="24">
        <v>0.1</v>
      </c>
      <c r="E96" s="7"/>
      <c r="F96" s="8" t="s">
        <v>100</v>
      </c>
      <c r="G96" s="7"/>
      <c r="H96" s="24">
        <v>0.1</v>
      </c>
      <c r="I96" s="7"/>
      <c r="J96" s="7"/>
    </row>
    <row r="97" spans="2:10" x14ac:dyDescent="0.2">
      <c r="B97" s="7"/>
      <c r="C97" s="7"/>
      <c r="D97" s="2"/>
      <c r="E97" s="3"/>
      <c r="F97" s="4" t="s">
        <v>169</v>
      </c>
      <c r="G97" s="3"/>
      <c r="H97" s="2"/>
      <c r="I97" s="7"/>
      <c r="J97" s="7"/>
    </row>
    <row r="98" spans="2:10" x14ac:dyDescent="0.2">
      <c r="B98" s="26" t="s">
        <v>102</v>
      </c>
      <c r="C98" s="7"/>
      <c r="D98" s="30">
        <f>F98*(1-D85)</f>
        <v>82.8</v>
      </c>
      <c r="E98" s="27"/>
      <c r="F98" s="31">
        <f>H14</f>
        <v>92</v>
      </c>
      <c r="G98" s="27"/>
      <c r="H98" s="30">
        <f>F98*(1+H85)</f>
        <v>101.2</v>
      </c>
      <c r="I98" s="7"/>
      <c r="J98" s="7"/>
    </row>
    <row r="99" spans="2:10" ht="4.5" customHeight="1" x14ac:dyDescent="0.2">
      <c r="B99" s="7"/>
      <c r="C99" s="7"/>
      <c r="D99" s="44"/>
      <c r="E99" s="7"/>
      <c r="F99" s="8"/>
      <c r="G99" s="7"/>
      <c r="H99" s="44"/>
      <c r="I99" s="7"/>
      <c r="J99" s="7"/>
    </row>
    <row r="100" spans="2:10" x14ac:dyDescent="0.2">
      <c r="B100" s="7" t="s">
        <v>170</v>
      </c>
      <c r="C100" s="7"/>
      <c r="D100" s="32">
        <f>$J$55/D98</f>
        <v>2.3323084009186523</v>
      </c>
      <c r="E100" s="7"/>
      <c r="F100" s="32">
        <f>$J$55/F98</f>
        <v>2.0990775608267871</v>
      </c>
      <c r="G100" s="7"/>
      <c r="H100" s="32">
        <f>$J$55/H98</f>
        <v>1.908252328024352</v>
      </c>
      <c r="I100" s="7"/>
      <c r="J100" s="7"/>
    </row>
    <row r="101" spans="2:10" ht="3" customHeight="1" x14ac:dyDescent="0.2">
      <c r="B101" s="7"/>
      <c r="C101" s="7"/>
      <c r="D101" s="44"/>
      <c r="E101" s="7"/>
      <c r="F101" s="8"/>
      <c r="G101" s="7"/>
      <c r="H101" s="44"/>
      <c r="I101" s="7"/>
      <c r="J101" s="7"/>
    </row>
    <row r="102" spans="2:10" x14ac:dyDescent="0.2">
      <c r="B102" s="7" t="s">
        <v>171</v>
      </c>
      <c r="C102" s="7"/>
      <c r="D102" s="32">
        <f>$J$71/D98</f>
        <v>0.63567632850241551</v>
      </c>
      <c r="E102" s="7"/>
      <c r="F102" s="32">
        <f>$J$71/F98</f>
        <v>0.57210869565217393</v>
      </c>
      <c r="G102" s="7"/>
      <c r="H102" s="32">
        <f>$J$71/H98</f>
        <v>0.52009881422924897</v>
      </c>
      <c r="I102" s="7"/>
      <c r="J102" s="7"/>
    </row>
    <row r="103" spans="2:10" ht="3.75" customHeight="1" x14ac:dyDescent="0.2">
      <c r="B103" s="7"/>
      <c r="C103" s="7"/>
      <c r="D103" s="44"/>
      <c r="E103" s="7"/>
      <c r="F103" s="8"/>
      <c r="G103" s="7"/>
      <c r="H103" s="44"/>
      <c r="I103" s="7"/>
      <c r="J103" s="7"/>
    </row>
    <row r="104" spans="2:10" x14ac:dyDescent="0.2">
      <c r="B104" s="7" t="s">
        <v>188</v>
      </c>
      <c r="C104" s="7"/>
      <c r="D104" s="32">
        <f>$J$74/D98</f>
        <v>2.9679847294210679</v>
      </c>
      <c r="E104" s="7"/>
      <c r="F104" s="32">
        <f>$J$74/F98</f>
        <v>2.6711862564789612</v>
      </c>
      <c r="G104" s="7"/>
      <c r="H104" s="32">
        <f>$J$74/H98</f>
        <v>2.428351142253601</v>
      </c>
      <c r="I104" s="7"/>
      <c r="J104" s="7"/>
    </row>
    <row r="105" spans="2:10" ht="3.75" customHeight="1" x14ac:dyDescent="0.2">
      <c r="B105" s="7"/>
      <c r="C105" s="7"/>
      <c r="D105" s="44"/>
      <c r="E105" s="7"/>
      <c r="F105" s="8"/>
      <c r="G105" s="7"/>
      <c r="H105" s="44"/>
      <c r="I105" s="7"/>
      <c r="J105" s="7"/>
    </row>
    <row r="106" spans="2:10" x14ac:dyDescent="0.2">
      <c r="B106" s="3"/>
      <c r="C106" s="3"/>
      <c r="D106" s="2"/>
      <c r="E106" s="3"/>
      <c r="F106" s="4"/>
      <c r="G106" s="3"/>
      <c r="H106" s="2"/>
      <c r="I106" s="3"/>
      <c r="J106" s="3"/>
    </row>
    <row r="107" spans="2:10" s="40" customFormat="1" x14ac:dyDescent="0.2">
      <c r="D107" s="58"/>
      <c r="F107" s="41"/>
      <c r="H107" s="58"/>
    </row>
    <row r="108" spans="2:10" s="40" customFormat="1" x14ac:dyDescent="0.2">
      <c r="D108" s="58"/>
      <c r="F108" s="41"/>
      <c r="H108" s="58"/>
    </row>
    <row r="109" spans="2:10" s="40" customFormat="1" x14ac:dyDescent="0.2">
      <c r="D109" s="58"/>
      <c r="F109" s="41"/>
      <c r="H109" s="58"/>
    </row>
    <row r="110" spans="2:10" s="40" customFormat="1" x14ac:dyDescent="0.2">
      <c r="D110" s="58"/>
      <c r="F110" s="41"/>
      <c r="H110" s="58"/>
    </row>
    <row r="111" spans="2:10" s="40" customFormat="1" x14ac:dyDescent="0.2">
      <c r="D111" s="58"/>
      <c r="F111" s="41"/>
      <c r="H111" s="58"/>
    </row>
    <row r="112" spans="2: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sheetData>
  <mergeCells count="10">
    <mergeCell ref="B3:J3"/>
    <mergeCell ref="B6:J6"/>
    <mergeCell ref="B82:J82"/>
    <mergeCell ref="B8:J8"/>
    <mergeCell ref="M79:U79"/>
    <mergeCell ref="B80:J80"/>
    <mergeCell ref="B81:J81"/>
    <mergeCell ref="B60:D60"/>
    <mergeCell ref="B61:D61"/>
    <mergeCell ref="B62:D62"/>
  </mergeCells>
  <phoneticPr fontId="7" type="noConversion"/>
  <printOptions horizontalCentered="1"/>
  <pageMargins left="0.75" right="0.75" top="1" bottom="1" header="0" footer="0.5"/>
  <pageSetup scale="98" fitToHeight="2" orientation="portrait" r:id="rId1"/>
  <headerFooter alignWithMargins="0">
    <oddFooter>&amp;L&amp;A&amp;C&amp;F&amp;R&amp;D</oddFooter>
  </headerFooter>
  <rowBreaks count="1" manualBreakCount="1">
    <brk id="58" min="1" max="9" man="1"/>
  </rowBreaks>
  <ignoredErrors>
    <ignoredError sqref="J50"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Normal="100" workbookViewId="0">
      <selection activeCell="B3" sqref="B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11" width="11.42578125" style="40" customWidth="1"/>
  </cols>
  <sheetData>
    <row r="1" spans="2:5" ht="15" customHeight="1" x14ac:dyDescent="0.2">
      <c r="B1" s="40"/>
      <c r="C1" s="40"/>
      <c r="D1" s="40"/>
      <c r="E1" s="40"/>
    </row>
    <row r="2" spans="2:5" ht="30" customHeight="1" x14ac:dyDescent="0.25">
      <c r="B2" s="571" t="s">
        <v>528</v>
      </c>
      <c r="C2" s="578"/>
      <c r="D2" s="578"/>
      <c r="E2" s="578"/>
    </row>
    <row r="3" spans="2:5" ht="6" customHeight="1" x14ac:dyDescent="0.25">
      <c r="B3" s="180"/>
      <c r="C3" s="175"/>
      <c r="D3" s="175"/>
      <c r="E3" s="175"/>
    </row>
    <row r="4" spans="2:5" ht="33" customHeight="1" x14ac:dyDescent="0.2">
      <c r="B4" s="183" t="s">
        <v>287</v>
      </c>
      <c r="C4" s="183" t="s">
        <v>289</v>
      </c>
      <c r="D4" s="183" t="s">
        <v>291</v>
      </c>
      <c r="E4" s="183" t="s">
        <v>292</v>
      </c>
    </row>
    <row r="5" spans="2:5" x14ac:dyDescent="0.2">
      <c r="B5" s="38"/>
      <c r="C5" s="38"/>
      <c r="D5" s="38"/>
      <c r="E5" s="326" t="s">
        <v>451</v>
      </c>
    </row>
    <row r="6" spans="2:5" x14ac:dyDescent="0.2">
      <c r="B6" s="5" t="s">
        <v>290</v>
      </c>
      <c r="C6" s="5" t="s">
        <v>131</v>
      </c>
      <c r="D6" s="90" t="s">
        <v>449</v>
      </c>
      <c r="E6" s="5" t="s">
        <v>174</v>
      </c>
    </row>
    <row r="7" spans="2:5" x14ac:dyDescent="0.2">
      <c r="B7" s="36"/>
      <c r="C7" s="36"/>
      <c r="D7" s="36" t="s">
        <v>53</v>
      </c>
      <c r="E7" s="36"/>
    </row>
    <row r="8" spans="2:5" x14ac:dyDescent="0.2">
      <c r="B8" s="37" t="s">
        <v>154</v>
      </c>
      <c r="C8" s="37" t="s">
        <v>260</v>
      </c>
      <c r="D8" s="67" t="s">
        <v>272</v>
      </c>
      <c r="E8" s="37"/>
    </row>
    <row r="9" spans="2:5" x14ac:dyDescent="0.2">
      <c r="B9" s="38"/>
      <c r="C9" s="38"/>
      <c r="D9" s="38"/>
      <c r="E9" s="38" t="s">
        <v>179</v>
      </c>
    </row>
    <row r="10" spans="2:5" x14ac:dyDescent="0.2">
      <c r="B10" s="5" t="s">
        <v>154</v>
      </c>
      <c r="C10" s="5" t="s">
        <v>229</v>
      </c>
      <c r="D10" s="5" t="s">
        <v>23</v>
      </c>
      <c r="E10" s="5" t="s">
        <v>180</v>
      </c>
    </row>
    <row r="11" spans="2:5" x14ac:dyDescent="0.2">
      <c r="B11" s="67"/>
      <c r="C11" s="67"/>
      <c r="D11" s="36" t="s">
        <v>53</v>
      </c>
      <c r="E11" s="67"/>
    </row>
    <row r="12" spans="2:5" x14ac:dyDescent="0.2">
      <c r="B12" s="67" t="s">
        <v>154</v>
      </c>
      <c r="C12" s="67" t="s">
        <v>117</v>
      </c>
      <c r="D12" s="67" t="s">
        <v>272</v>
      </c>
      <c r="E12" s="67"/>
    </row>
    <row r="13" spans="2:5" x14ac:dyDescent="0.2">
      <c r="B13" s="38"/>
      <c r="C13" s="38"/>
      <c r="D13" s="38"/>
      <c r="E13" s="38"/>
    </row>
    <row r="14" spans="2:5" x14ac:dyDescent="0.2">
      <c r="B14" s="5" t="s">
        <v>275</v>
      </c>
      <c r="C14" s="5" t="s">
        <v>241</v>
      </c>
      <c r="D14" s="5" t="s">
        <v>62</v>
      </c>
      <c r="E14" s="5" t="s">
        <v>176</v>
      </c>
    </row>
    <row r="15" spans="2:5" x14ac:dyDescent="0.2">
      <c r="B15" s="39"/>
      <c r="C15" s="39"/>
      <c r="D15" s="39"/>
      <c r="E15" s="39"/>
    </row>
    <row r="16" spans="2:5" ht="12" customHeight="1" x14ac:dyDescent="0.2">
      <c r="B16" s="3" t="s">
        <v>275</v>
      </c>
      <c r="C16" s="3" t="s">
        <v>155</v>
      </c>
      <c r="D16" s="3"/>
      <c r="E16" s="3"/>
    </row>
    <row r="17" spans="2:5" x14ac:dyDescent="0.2">
      <c r="B17" s="38"/>
      <c r="C17" s="38"/>
      <c r="D17" s="38"/>
      <c r="E17" s="326" t="s">
        <v>453</v>
      </c>
    </row>
    <row r="18" spans="2:5" x14ac:dyDescent="0.2">
      <c r="B18" s="5" t="s">
        <v>275</v>
      </c>
      <c r="C18" s="5" t="s">
        <v>131</v>
      </c>
      <c r="D18" s="90" t="s">
        <v>449</v>
      </c>
      <c r="E18" s="90" t="s">
        <v>299</v>
      </c>
    </row>
    <row r="19" spans="2:5" ht="12" customHeight="1" x14ac:dyDescent="0.2">
      <c r="B19" s="36"/>
      <c r="C19" s="36"/>
      <c r="D19" s="36"/>
      <c r="E19" s="36"/>
    </row>
    <row r="20" spans="2:5" ht="12" customHeight="1" x14ac:dyDescent="0.2">
      <c r="B20" s="37" t="s">
        <v>288</v>
      </c>
      <c r="C20" s="37" t="s">
        <v>293</v>
      </c>
      <c r="D20" s="37" t="s">
        <v>28</v>
      </c>
      <c r="E20" s="37"/>
    </row>
    <row r="21" spans="2:5" x14ac:dyDescent="0.2">
      <c r="B21" s="40"/>
      <c r="C21" s="40"/>
      <c r="D21" s="40"/>
      <c r="E21" s="40"/>
    </row>
    <row r="22" spans="2:5" x14ac:dyDescent="0.2">
      <c r="B22" s="40"/>
      <c r="C22" s="40"/>
      <c r="D22" s="40"/>
      <c r="E22" s="4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sheetData>
  <mergeCells count="1">
    <mergeCell ref="B2:E2"/>
  </mergeCells>
  <phoneticPr fontId="7"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9"/>
  <sheetViews>
    <sheetView topLeftCell="A90" zoomScaleNormal="100" workbookViewId="0">
      <selection activeCell="B98" sqref="B98"/>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ht="7.5" customHeight="1" x14ac:dyDescent="0.2">
      <c r="A7" s="40"/>
      <c r="B7" s="40"/>
      <c r="C7" s="40"/>
      <c r="D7" s="58"/>
      <c r="E7" s="40"/>
      <c r="F7" s="41"/>
      <c r="G7" s="40"/>
      <c r="H7" s="58"/>
      <c r="I7" s="40"/>
      <c r="J7" s="40"/>
    </row>
    <row r="8" spans="1:44" s="92" customFormat="1" ht="31.5" customHeight="1" x14ac:dyDescent="0.25">
      <c r="A8" s="91"/>
      <c r="B8" s="576" t="s">
        <v>529</v>
      </c>
      <c r="C8" s="572"/>
      <c r="D8" s="572"/>
      <c r="E8" s="572"/>
      <c r="F8" s="572"/>
      <c r="G8" s="572"/>
      <c r="H8" s="572"/>
      <c r="I8" s="572"/>
      <c r="J8" s="572"/>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249</v>
      </c>
      <c r="E10" s="83"/>
      <c r="F10" s="84"/>
      <c r="G10" s="83"/>
      <c r="H10" s="83" t="s">
        <v>250</v>
      </c>
      <c r="I10" s="83"/>
      <c r="J10" s="85"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252</v>
      </c>
      <c r="C11" s="220"/>
      <c r="D11" s="87" t="s">
        <v>156</v>
      </c>
      <c r="E11" s="87"/>
      <c r="F11" s="221" t="s">
        <v>157</v>
      </c>
      <c r="G11" s="87"/>
      <c r="H11" s="87" t="s">
        <v>5</v>
      </c>
      <c r="I11" s="87"/>
      <c r="J11" s="222"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199</v>
      </c>
      <c r="C13" s="7"/>
      <c r="D13" s="44"/>
      <c r="E13" s="7"/>
      <c r="F13" s="8"/>
      <c r="G13" s="7"/>
      <c r="H13" s="44"/>
      <c r="I13" s="7"/>
      <c r="J13" s="9"/>
    </row>
    <row r="14" spans="1:44" x14ac:dyDescent="0.2">
      <c r="A14" s="40"/>
      <c r="B14" s="10" t="s">
        <v>244</v>
      </c>
      <c r="C14" s="11"/>
      <c r="D14" s="363">
        <f>yp</f>
        <v>1700</v>
      </c>
      <c r="E14" s="11"/>
      <c r="F14" s="12" t="s">
        <v>189</v>
      </c>
      <c r="G14" s="11"/>
      <c r="H14" s="418">
        <f>+Summary!$E$20</f>
        <v>0.12</v>
      </c>
      <c r="I14" s="11"/>
      <c r="J14" s="13">
        <f>D14*H14</f>
        <v>204</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167</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200</v>
      </c>
      <c r="C18" s="7"/>
      <c r="D18" s="66"/>
      <c r="E18" s="7"/>
      <c r="F18" s="8"/>
      <c r="G18" s="7"/>
      <c r="H18" s="61"/>
      <c r="I18" s="7"/>
      <c r="J18" s="325">
        <f>SUM(J19:J19)</f>
        <v>76</v>
      </c>
    </row>
    <row r="19" spans="1:33" x14ac:dyDescent="0.2">
      <c r="A19" s="40"/>
      <c r="B19" s="10" t="s">
        <v>139</v>
      </c>
      <c r="C19" s="11"/>
      <c r="D19" s="361">
        <v>200</v>
      </c>
      <c r="E19" s="11"/>
      <c r="F19" s="12" t="s">
        <v>189</v>
      </c>
      <c r="G19" s="11"/>
      <c r="H19" s="356">
        <f>Pea</f>
        <v>0.38</v>
      </c>
      <c r="I19" s="11"/>
      <c r="J19" s="13">
        <f>D19*H19</f>
        <v>76</v>
      </c>
    </row>
    <row r="20" spans="1:33" ht="5.0999999999999996" customHeight="1" x14ac:dyDescent="0.2">
      <c r="A20" s="40"/>
      <c r="B20" s="7"/>
      <c r="C20" s="7"/>
      <c r="D20" s="44"/>
      <c r="E20" s="7"/>
      <c r="F20" s="8"/>
      <c r="G20" s="7"/>
      <c r="H20" s="61"/>
      <c r="I20" s="7"/>
      <c r="J20" s="16"/>
    </row>
    <row r="21" spans="1:33" x14ac:dyDescent="0.2">
      <c r="A21" s="40"/>
      <c r="B21" s="52" t="s">
        <v>212</v>
      </c>
      <c r="C21" s="7"/>
      <c r="D21" s="44"/>
      <c r="E21" s="7"/>
      <c r="F21" s="8"/>
      <c r="G21" s="7"/>
      <c r="H21" s="61"/>
      <c r="I21" s="7"/>
      <c r="J21" s="325">
        <f>SUM(J22:J23)</f>
        <v>0</v>
      </c>
      <c r="M21" s="42"/>
    </row>
    <row r="22" spans="1:33" x14ac:dyDescent="0.2">
      <c r="A22" s="40"/>
      <c r="B22" s="18"/>
      <c r="C22" s="7"/>
      <c r="D22" s="191"/>
      <c r="E22" s="7"/>
      <c r="F22" s="19"/>
      <c r="G22" s="7"/>
      <c r="H22" s="192"/>
      <c r="I22" s="7"/>
      <c r="J22" s="20">
        <f>D22*H22</f>
        <v>0</v>
      </c>
    </row>
    <row r="23" spans="1:33" x14ac:dyDescent="0.2">
      <c r="A23" s="40"/>
      <c r="B23" s="18"/>
      <c r="C23" s="7"/>
      <c r="D23" s="191"/>
      <c r="E23" s="7"/>
      <c r="F23" s="19"/>
      <c r="G23" s="7"/>
      <c r="H23" s="192"/>
      <c r="I23" s="7"/>
      <c r="J23" s="20">
        <f>D23*H23</f>
        <v>0</v>
      </c>
    </row>
    <row r="24" spans="1:33" ht="5.0999999999999996" customHeight="1" x14ac:dyDescent="0.2">
      <c r="A24" s="40"/>
      <c r="B24" s="7"/>
      <c r="C24" s="7"/>
      <c r="D24" s="44"/>
      <c r="E24" s="7"/>
      <c r="F24" s="8"/>
      <c r="G24" s="7"/>
      <c r="H24" s="61"/>
      <c r="I24" s="7"/>
      <c r="J24" s="20"/>
    </row>
    <row r="25" spans="1:33" x14ac:dyDescent="0.2">
      <c r="A25" s="40"/>
      <c r="B25" s="52" t="s">
        <v>181</v>
      </c>
      <c r="C25" s="7"/>
      <c r="D25" s="44"/>
      <c r="E25" s="7"/>
      <c r="F25" s="8"/>
      <c r="G25" s="7"/>
      <c r="H25" s="61"/>
      <c r="I25" s="7"/>
      <c r="J25" s="324">
        <f>SUM(J29:J35)</f>
        <v>46.719500000000004</v>
      </c>
    </row>
    <row r="26" spans="1:33" s="50" customFormat="1" x14ac:dyDescent="0.2">
      <c r="A26" s="68"/>
      <c r="B26" s="315" t="s">
        <v>346</v>
      </c>
      <c r="C26" s="69"/>
      <c r="D26" s="75"/>
      <c r="E26" s="69"/>
      <c r="F26" s="70"/>
      <c r="G26" s="69"/>
      <c r="H26" s="316"/>
      <c r="I26" s="69"/>
      <c r="J26" s="319"/>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15" t="s">
        <v>347</v>
      </c>
      <c r="C27" s="69"/>
      <c r="D27" s="75"/>
      <c r="E27" s="69"/>
      <c r="F27" s="70"/>
      <c r="G27" s="69"/>
      <c r="H27" s="316"/>
      <c r="I27" s="69"/>
      <c r="J27" s="319"/>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15" t="s">
        <v>348</v>
      </c>
      <c r="C28" s="69"/>
      <c r="D28" s="75"/>
      <c r="E28" s="69"/>
      <c r="F28" s="70"/>
      <c r="G28" s="69"/>
      <c r="H28" s="316"/>
      <c r="I28" s="69"/>
      <c r="J28" s="319"/>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t="s">
        <v>208</v>
      </c>
      <c r="C29" s="7"/>
      <c r="D29" s="361">
        <v>3</v>
      </c>
      <c r="E29" s="7"/>
      <c r="F29" s="19" t="s">
        <v>191</v>
      </c>
      <c r="G29" s="7"/>
      <c r="H29" s="356">
        <f>Pursuit</f>
        <v>3.53</v>
      </c>
      <c r="I29" s="7"/>
      <c r="J29" s="20">
        <f t="shared" ref="J29:J35" si="0">D29*H29</f>
        <v>10.59</v>
      </c>
    </row>
    <row r="30" spans="1:33" x14ac:dyDescent="0.2">
      <c r="A30" s="40"/>
      <c r="B30" s="18" t="s">
        <v>209</v>
      </c>
      <c r="C30" s="7"/>
      <c r="D30" s="361">
        <v>24</v>
      </c>
      <c r="E30" s="7"/>
      <c r="F30" s="19" t="s">
        <v>191</v>
      </c>
      <c r="G30" s="7"/>
      <c r="H30" s="356">
        <f>Prowl</f>
        <v>0.46</v>
      </c>
      <c r="I30" s="7"/>
      <c r="J30" s="20">
        <f t="shared" si="0"/>
        <v>11.040000000000001</v>
      </c>
    </row>
    <row r="31" spans="1:33" x14ac:dyDescent="0.2">
      <c r="A31" s="40"/>
      <c r="B31" s="18" t="s">
        <v>162</v>
      </c>
      <c r="C31" s="7"/>
      <c r="D31" s="361">
        <v>50</v>
      </c>
      <c r="E31" s="7"/>
      <c r="F31" s="19" t="s">
        <v>191</v>
      </c>
      <c r="G31" s="7"/>
      <c r="H31" s="356">
        <v>0.02</v>
      </c>
      <c r="I31" s="7"/>
      <c r="J31" s="20">
        <f t="shared" si="0"/>
        <v>1</v>
      </c>
    </row>
    <row r="32" spans="1:33" x14ac:dyDescent="0.2">
      <c r="A32" s="40"/>
      <c r="B32" s="55" t="s">
        <v>277</v>
      </c>
      <c r="C32" s="7"/>
      <c r="D32" s="369">
        <v>1.5</v>
      </c>
      <c r="E32" s="7"/>
      <c r="F32" s="19" t="s">
        <v>191</v>
      </c>
      <c r="G32" s="7"/>
      <c r="H32" s="356">
        <f>surf</f>
        <v>0.23</v>
      </c>
      <c r="I32" s="7"/>
      <c r="J32" s="20">
        <f t="shared" si="0"/>
        <v>0.34500000000000003</v>
      </c>
    </row>
    <row r="33" spans="1:10" x14ac:dyDescent="0.2">
      <c r="A33" s="40"/>
      <c r="B33" s="18" t="s">
        <v>64</v>
      </c>
      <c r="C33" s="7"/>
      <c r="D33" s="361">
        <v>1</v>
      </c>
      <c r="E33" s="7"/>
      <c r="F33" s="19" t="s">
        <v>189</v>
      </c>
      <c r="G33" s="7"/>
      <c r="H33" s="356">
        <f>Imidan</f>
        <v>15.41</v>
      </c>
      <c r="I33" s="7"/>
      <c r="J33" s="20">
        <f t="shared" si="0"/>
        <v>15.41</v>
      </c>
    </row>
    <row r="34" spans="1:10" x14ac:dyDescent="0.2">
      <c r="A34" s="40"/>
      <c r="B34" s="18" t="s">
        <v>210</v>
      </c>
      <c r="C34" s="7"/>
      <c r="D34" s="369">
        <v>0.33</v>
      </c>
      <c r="E34" s="7"/>
      <c r="F34" s="19" t="s">
        <v>278</v>
      </c>
      <c r="G34" s="7"/>
      <c r="H34" s="356">
        <f>Dimethoate</f>
        <v>8.4</v>
      </c>
      <c r="I34" s="7"/>
      <c r="J34" s="20">
        <f t="shared" si="0"/>
        <v>2.7720000000000002</v>
      </c>
    </row>
    <row r="35" spans="1:10" x14ac:dyDescent="0.2">
      <c r="A35" s="40"/>
      <c r="B35" s="18" t="s">
        <v>358</v>
      </c>
      <c r="C35" s="7"/>
      <c r="D35" s="361">
        <v>1</v>
      </c>
      <c r="E35" s="7"/>
      <c r="F35" s="19" t="s">
        <v>150</v>
      </c>
      <c r="G35" s="7"/>
      <c r="H35" s="356">
        <v>5.5625</v>
      </c>
      <c r="I35" s="7"/>
      <c r="J35" s="20">
        <f t="shared" si="0"/>
        <v>5.5625</v>
      </c>
    </row>
    <row r="36" spans="1:10" ht="5.25" customHeight="1" x14ac:dyDescent="0.2">
      <c r="A36" s="40"/>
      <c r="B36" s="7"/>
      <c r="C36" s="7"/>
      <c r="D36" s="59"/>
      <c r="E36" s="7"/>
      <c r="F36" s="8"/>
      <c r="G36" s="7"/>
      <c r="H36" s="61"/>
      <c r="I36" s="7"/>
      <c r="J36" s="20"/>
    </row>
    <row r="37" spans="1:10" x14ac:dyDescent="0.2">
      <c r="A37" s="40"/>
      <c r="B37" s="52" t="s">
        <v>50</v>
      </c>
      <c r="C37" s="7"/>
      <c r="D37" s="73"/>
      <c r="E37" s="7"/>
      <c r="F37" s="8"/>
      <c r="G37" s="7"/>
      <c r="H37" s="61"/>
      <c r="I37" s="7"/>
      <c r="J37" s="324">
        <f>SUM(J38:J42)</f>
        <v>53.224894530219288</v>
      </c>
    </row>
    <row r="38" spans="1:10" x14ac:dyDescent="0.2">
      <c r="A38" s="40"/>
      <c r="B38" s="33" t="s">
        <v>284</v>
      </c>
      <c r="C38" s="7"/>
      <c r="D38" s="353">
        <f>'Machinery Costs'!$M$172</f>
        <v>10.385915492957746</v>
      </c>
      <c r="E38" s="7"/>
      <c r="F38" s="19" t="s">
        <v>286</v>
      </c>
      <c r="G38" s="7"/>
      <c r="H38" s="356">
        <f>Diesel</f>
        <v>2</v>
      </c>
      <c r="I38" s="7"/>
      <c r="J38" s="20">
        <f>D38*H38</f>
        <v>20.771830985915493</v>
      </c>
    </row>
    <row r="39" spans="1:10" x14ac:dyDescent="0.2">
      <c r="A39" s="40"/>
      <c r="B39" s="33" t="s">
        <v>285</v>
      </c>
      <c r="C39" s="7"/>
      <c r="D39" s="43">
        <v>1</v>
      </c>
      <c r="E39" s="7"/>
      <c r="F39" s="19" t="s">
        <v>190</v>
      </c>
      <c r="G39" s="7"/>
      <c r="H39" s="354">
        <f>'Machinery Costs'!$I$172</f>
        <v>3.2309999999999999</v>
      </c>
      <c r="I39" s="7"/>
      <c r="J39" s="20">
        <f>D39*H39</f>
        <v>3.2309999999999999</v>
      </c>
    </row>
    <row r="40" spans="1:10" x14ac:dyDescent="0.2">
      <c r="A40" s="40"/>
      <c r="B40" s="33" t="s">
        <v>91</v>
      </c>
      <c r="C40" s="7"/>
      <c r="D40" s="43">
        <v>1</v>
      </c>
      <c r="E40" s="7"/>
      <c r="F40" s="19" t="s">
        <v>190</v>
      </c>
      <c r="G40" s="7"/>
      <c r="H40" s="354">
        <f>'Machinery Costs'!$G$172</f>
        <v>9.347999999999999</v>
      </c>
      <c r="I40" s="7"/>
      <c r="J40" s="20">
        <f>D40*H40</f>
        <v>9.347999999999999</v>
      </c>
    </row>
    <row r="41" spans="1:10" x14ac:dyDescent="0.2">
      <c r="A41" s="40"/>
      <c r="B41" s="33" t="s">
        <v>173</v>
      </c>
      <c r="C41" s="7"/>
      <c r="D41" s="353">
        <f>'Machinery Costs'!$L$172</f>
        <v>0.99370317721518975</v>
      </c>
      <c r="E41" s="7"/>
      <c r="F41" s="312" t="s">
        <v>184</v>
      </c>
      <c r="G41" s="7"/>
      <c r="H41" s="356">
        <f>Labor</f>
        <v>20</v>
      </c>
      <c r="I41" s="7"/>
      <c r="J41" s="20">
        <f>D41*H41</f>
        <v>19.874063544303795</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152</v>
      </c>
      <c r="C44" s="7"/>
      <c r="D44" s="73"/>
      <c r="E44" s="7"/>
      <c r="F44" s="8"/>
      <c r="G44" s="7"/>
      <c r="H44" s="61"/>
      <c r="I44" s="7"/>
      <c r="J44" s="324">
        <f>SUM(J45:J47)</f>
        <v>8.9499999999999993</v>
      </c>
    </row>
    <row r="45" spans="1:10" x14ac:dyDescent="0.2">
      <c r="A45" s="40"/>
      <c r="B45" s="18" t="s">
        <v>261</v>
      </c>
      <c r="C45" s="7"/>
      <c r="D45" s="361">
        <v>0</v>
      </c>
      <c r="E45" s="7"/>
      <c r="F45" s="19" t="s">
        <v>190</v>
      </c>
      <c r="G45" s="7"/>
      <c r="H45" s="356">
        <f>Sprayer</f>
        <v>2</v>
      </c>
      <c r="I45" s="7"/>
      <c r="J45" s="20">
        <f>D45*H45</f>
        <v>0</v>
      </c>
    </row>
    <row r="46" spans="1:10" x14ac:dyDescent="0.2">
      <c r="A46" s="40"/>
      <c r="B46" s="18" t="s">
        <v>207</v>
      </c>
      <c r="C46" s="7"/>
      <c r="D46" s="361">
        <v>1</v>
      </c>
      <c r="E46" s="7"/>
      <c r="F46" s="19" t="s">
        <v>190</v>
      </c>
      <c r="G46" s="7"/>
      <c r="H46" s="356">
        <f>Aerial</f>
        <v>8.9499999999999993</v>
      </c>
      <c r="I46" s="7"/>
      <c r="J46" s="20">
        <f>D46*H46</f>
        <v>8.9499999999999993</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8"/>
      <c r="I48" s="7"/>
      <c r="J48" s="20"/>
    </row>
    <row r="49" spans="1:33" x14ac:dyDescent="0.2">
      <c r="A49" s="40"/>
      <c r="B49" s="52" t="s">
        <v>153</v>
      </c>
      <c r="C49" s="7"/>
      <c r="D49" s="44"/>
      <c r="E49" s="7"/>
      <c r="F49" s="8"/>
      <c r="G49" s="7"/>
      <c r="H49" s="8"/>
      <c r="I49" s="7"/>
      <c r="J49" s="324">
        <f>SUM(J50:J52)</f>
        <v>22</v>
      </c>
    </row>
    <row r="50" spans="1:33" x14ac:dyDescent="0.2">
      <c r="A50" s="40"/>
      <c r="B50" s="18" t="s">
        <v>192</v>
      </c>
      <c r="C50" s="7"/>
      <c r="D50" s="43">
        <v>1</v>
      </c>
      <c r="E50" s="7"/>
      <c r="F50" s="19" t="s">
        <v>190</v>
      </c>
      <c r="G50" s="7"/>
      <c r="H50" s="358">
        <v>22</v>
      </c>
      <c r="I50" s="7"/>
      <c r="J50" s="20">
        <f>D50*H50</f>
        <v>22</v>
      </c>
    </row>
    <row r="51" spans="1:33" x14ac:dyDescent="0.2">
      <c r="A51" s="40"/>
      <c r="B51" s="33" t="s">
        <v>172</v>
      </c>
      <c r="C51" s="7"/>
      <c r="D51" s="43"/>
      <c r="E51" s="7"/>
      <c r="F51" s="19"/>
      <c r="G51" s="7"/>
      <c r="H51" s="45"/>
      <c r="I51" s="7"/>
      <c r="J51" s="20">
        <f>D51*H51</f>
        <v>0</v>
      </c>
    </row>
    <row r="52" spans="1:33" x14ac:dyDescent="0.2">
      <c r="A52" s="197"/>
      <c r="B52" s="33" t="s">
        <v>240</v>
      </c>
      <c r="C52" s="7"/>
      <c r="D52" s="193"/>
      <c r="E52" s="7"/>
      <c r="F52" s="19"/>
      <c r="G52" s="7"/>
      <c r="H52" s="45"/>
      <c r="I52" s="7"/>
      <c r="J52" s="20"/>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329</v>
      </c>
      <c r="C54" s="7"/>
      <c r="D54" s="44"/>
      <c r="E54" s="7"/>
      <c r="F54" s="8"/>
      <c r="G54" s="7"/>
      <c r="H54" s="44"/>
      <c r="I54" s="7"/>
      <c r="J54" s="20">
        <f>+(J18+J21+J25+J37+J44+J49)*operloan*0.5</f>
        <v>5.9482138427438054</v>
      </c>
    </row>
    <row r="55" spans="1:33" ht="5.25" customHeight="1" x14ac:dyDescent="0.2">
      <c r="A55" s="40"/>
      <c r="B55" s="7"/>
      <c r="C55" s="7"/>
      <c r="D55" s="44"/>
      <c r="E55" s="7"/>
      <c r="F55" s="8"/>
      <c r="G55" s="7"/>
      <c r="H55" s="44"/>
      <c r="I55" s="7"/>
      <c r="J55" s="20"/>
    </row>
    <row r="56" spans="1:33" x14ac:dyDescent="0.2">
      <c r="A56" s="40"/>
      <c r="B56" s="52" t="s">
        <v>232</v>
      </c>
      <c r="C56" s="52"/>
      <c r="D56" s="65"/>
      <c r="E56" s="52"/>
      <c r="F56" s="53"/>
      <c r="G56" s="52"/>
      <c r="H56" s="65"/>
      <c r="I56" s="52"/>
      <c r="J56" s="54">
        <f>SUM(J18:J54)-(J18+J21+J25+J37+J44+J49)</f>
        <v>212.84260837296307</v>
      </c>
    </row>
    <row r="57" spans="1:33" x14ac:dyDescent="0.2">
      <c r="A57" s="40"/>
      <c r="B57" s="7" t="s">
        <v>233</v>
      </c>
      <c r="C57" s="7"/>
      <c r="D57" s="44"/>
      <c r="E57" s="7"/>
      <c r="F57" s="8"/>
      <c r="G57" s="7"/>
      <c r="H57" s="44"/>
      <c r="I57" s="7"/>
      <c r="J57" s="20">
        <f>J56/D14</f>
        <v>0.1252015343370371</v>
      </c>
    </row>
    <row r="58" spans="1:33" ht="5.25" customHeight="1" x14ac:dyDescent="0.2">
      <c r="A58" s="40"/>
      <c r="B58" s="7"/>
      <c r="C58" s="7"/>
      <c r="D58" s="44"/>
      <c r="E58" s="7"/>
      <c r="F58" s="8"/>
      <c r="G58" s="7"/>
      <c r="H58" s="44"/>
      <c r="I58" s="7"/>
      <c r="J58" s="20"/>
    </row>
    <row r="59" spans="1:33" s="47" customFormat="1" x14ac:dyDescent="0.2">
      <c r="A59" s="46"/>
      <c r="B59" s="62" t="s">
        <v>234</v>
      </c>
      <c r="C59" s="62"/>
      <c r="D59" s="63"/>
      <c r="E59" s="62"/>
      <c r="F59" s="64"/>
      <c r="G59" s="62"/>
      <c r="H59" s="63"/>
      <c r="I59" s="62"/>
      <c r="J59" s="96">
        <f>J14-J56</f>
        <v>-8.8426083729630705</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
      <c r="A60" s="40"/>
      <c r="B60" s="6" t="s">
        <v>325</v>
      </c>
      <c r="C60" s="7"/>
      <c r="D60" s="44"/>
      <c r="E60" s="7"/>
      <c r="F60" s="8"/>
      <c r="G60" s="7"/>
      <c r="H60" s="44"/>
      <c r="I60" s="7"/>
      <c r="J60" s="20"/>
    </row>
    <row r="61" spans="1:33" x14ac:dyDescent="0.2">
      <c r="A61" s="40"/>
      <c r="B61" s="417" t="s">
        <v>477</v>
      </c>
      <c r="C61" s="95"/>
      <c r="D61" s="59"/>
      <c r="E61" s="7"/>
      <c r="F61" s="19" t="s">
        <v>190</v>
      </c>
      <c r="G61" s="7"/>
      <c r="H61" s="353">
        <f>'Machinery Costs'!C172</f>
        <v>17.040000000000003</v>
      </c>
      <c r="I61" s="7"/>
      <c r="J61" s="20">
        <f>H61</f>
        <v>17.040000000000003</v>
      </c>
      <c r="L61" s="42"/>
    </row>
    <row r="62" spans="1:33" x14ac:dyDescent="0.2">
      <c r="A62" s="40"/>
      <c r="B62" s="417" t="s">
        <v>478</v>
      </c>
      <c r="C62" s="95"/>
      <c r="D62" s="59"/>
      <c r="E62" s="7"/>
      <c r="F62" s="19" t="s">
        <v>190</v>
      </c>
      <c r="G62" s="7"/>
      <c r="H62" s="353">
        <f>'Machinery Costs'!D172</f>
        <v>12.641</v>
      </c>
      <c r="I62" s="7"/>
      <c r="J62" s="20">
        <f>H62</f>
        <v>12.641</v>
      </c>
      <c r="L62" s="42"/>
    </row>
    <row r="63" spans="1:33" x14ac:dyDescent="0.2">
      <c r="A63" s="40"/>
      <c r="B63" s="417" t="s">
        <v>479</v>
      </c>
      <c r="C63" s="95"/>
      <c r="D63" s="59"/>
      <c r="E63" s="7"/>
      <c r="F63" s="19" t="s">
        <v>190</v>
      </c>
      <c r="G63" s="7"/>
      <c r="H63" s="353">
        <f>'Machinery Costs'!E172</f>
        <v>5.0629999999999997</v>
      </c>
      <c r="I63" s="7"/>
      <c r="J63" s="20">
        <f>H63</f>
        <v>5.0629999999999997</v>
      </c>
      <c r="L63" s="42"/>
    </row>
    <row r="64" spans="1:33" x14ac:dyDescent="0.2">
      <c r="A64" s="40"/>
      <c r="B64" s="18" t="s">
        <v>266</v>
      </c>
      <c r="C64" s="7"/>
      <c r="D64" s="7"/>
      <c r="E64" s="7"/>
      <c r="F64" s="19" t="s">
        <v>190</v>
      </c>
      <c r="G64" s="7"/>
      <c r="H64" s="79">
        <f>ROUND((D14*H14)*D66-(J21+J25+H50)*D66, 0)</f>
        <v>34</v>
      </c>
      <c r="I64" s="7"/>
      <c r="J64" s="20">
        <f>+H64</f>
        <v>34</v>
      </c>
    </row>
    <row r="65" spans="1:33" ht="12.75" customHeight="1" x14ac:dyDescent="0.2">
      <c r="A65" s="40"/>
      <c r="B65" s="7" t="s">
        <v>267</v>
      </c>
      <c r="C65" s="7"/>
      <c r="D65" s="44"/>
      <c r="E65" s="7"/>
      <c r="F65" s="8"/>
      <c r="G65" s="7"/>
      <c r="H65" s="93"/>
      <c r="I65" s="7"/>
      <c r="J65" s="20"/>
    </row>
    <row r="66" spans="1:33" ht="12.75" customHeight="1" x14ac:dyDescent="0.2">
      <c r="A66" s="40"/>
      <c r="B66" s="7" t="s">
        <v>268</v>
      </c>
      <c r="C66" s="7"/>
      <c r="D66" s="372">
        <v>0.25</v>
      </c>
      <c r="E66" s="7"/>
      <c r="F66" s="8"/>
      <c r="G66" s="7"/>
      <c r="H66" s="61"/>
      <c r="I66" s="7"/>
      <c r="J66" s="20"/>
    </row>
    <row r="67" spans="1:33" ht="12.75" customHeight="1" x14ac:dyDescent="0.2">
      <c r="A67" s="40"/>
      <c r="B67" s="7" t="s">
        <v>269</v>
      </c>
      <c r="C67" s="7"/>
      <c r="D67" s="372">
        <v>0.75</v>
      </c>
      <c r="E67" s="7"/>
      <c r="F67" s="8"/>
      <c r="G67" s="7"/>
      <c r="H67" s="61"/>
      <c r="I67" s="7"/>
      <c r="J67" s="20"/>
    </row>
    <row r="68" spans="1:33" x14ac:dyDescent="0.2">
      <c r="A68" s="40"/>
      <c r="B68" s="51"/>
      <c r="C68" s="51"/>
      <c r="D68" s="74"/>
      <c r="E68" s="51"/>
      <c r="F68" s="74"/>
      <c r="G68" s="7"/>
      <c r="H68" s="44"/>
      <c r="I68" s="7"/>
      <c r="J68" s="20"/>
    </row>
    <row r="69" spans="1:33" ht="14.25" x14ac:dyDescent="0.2">
      <c r="A69" s="40"/>
      <c r="B69" s="147" t="s">
        <v>61</v>
      </c>
      <c r="C69" s="7"/>
      <c r="D69" s="44"/>
      <c r="E69" s="7"/>
      <c r="F69" s="8"/>
      <c r="G69" s="7"/>
      <c r="H69" s="44"/>
      <c r="I69" s="7"/>
      <c r="J69" s="20">
        <f>ROUND(($J$18+$J$21+$J$25+$J$37+$J$44+$J$49)*oh, 0)</f>
        <v>5</v>
      </c>
    </row>
    <row r="70" spans="1:33" ht="14.25" x14ac:dyDescent="0.2">
      <c r="A70" s="197"/>
      <c r="B70" s="147" t="s">
        <v>330</v>
      </c>
      <c r="C70" s="94"/>
      <c r="D70" s="59"/>
      <c r="E70" s="7"/>
      <c r="F70" s="8"/>
      <c r="G70" s="7"/>
      <c r="H70" s="44"/>
      <c r="I70" s="7"/>
      <c r="J70" s="20">
        <f>ROUND(($J$14)*MF, 0)</f>
        <v>10</v>
      </c>
      <c r="K70" s="197"/>
      <c r="L70" s="197"/>
      <c r="M70" s="197"/>
      <c r="N70" s="197"/>
      <c r="O70" s="197"/>
      <c r="P70" s="197"/>
      <c r="Q70" s="197"/>
      <c r="R70" s="197"/>
      <c r="S70" s="197"/>
      <c r="T70" s="197"/>
      <c r="U70" s="197"/>
      <c r="V70" s="197"/>
      <c r="W70" s="197"/>
      <c r="X70" s="197"/>
      <c r="Y70" s="197"/>
      <c r="Z70" s="197"/>
      <c r="AA70" s="197"/>
      <c r="AB70" s="197"/>
      <c r="AC70" s="197"/>
      <c r="AD70" s="197"/>
      <c r="AE70" s="197"/>
      <c r="AF70" s="197"/>
      <c r="AG70"/>
    </row>
    <row r="71" spans="1:33" ht="5.25" customHeight="1" x14ac:dyDescent="0.2">
      <c r="A71" s="40"/>
      <c r="B71" s="7"/>
      <c r="C71" s="7"/>
      <c r="D71" s="44"/>
      <c r="E71" s="7"/>
      <c r="F71" s="8"/>
      <c r="G71" s="7"/>
      <c r="H71" s="44"/>
      <c r="I71" s="7"/>
      <c r="J71" s="20"/>
    </row>
    <row r="72" spans="1:33" x14ac:dyDescent="0.2">
      <c r="A72" s="40"/>
      <c r="B72" s="52" t="s">
        <v>230</v>
      </c>
      <c r="C72" s="52"/>
      <c r="D72" s="65"/>
      <c r="E72" s="52"/>
      <c r="F72" s="53"/>
      <c r="G72" s="52"/>
      <c r="H72" s="65"/>
      <c r="I72" s="52"/>
      <c r="J72" s="54">
        <f>SUM(J60:J70)</f>
        <v>83.744</v>
      </c>
    </row>
    <row r="73" spans="1:33" x14ac:dyDescent="0.2">
      <c r="A73" s="40"/>
      <c r="B73" s="7" t="s">
        <v>231</v>
      </c>
      <c r="C73" s="7"/>
      <c r="D73" s="44"/>
      <c r="E73" s="7"/>
      <c r="F73" s="8"/>
      <c r="G73" s="7"/>
      <c r="H73" s="44"/>
      <c r="I73" s="7"/>
      <c r="J73" s="20">
        <f>J72/D14</f>
        <v>4.9261176470588232E-2</v>
      </c>
    </row>
    <row r="74" spans="1:33" x14ac:dyDescent="0.2">
      <c r="A74" s="40"/>
      <c r="B74" s="7"/>
      <c r="C74" s="7"/>
      <c r="D74" s="44"/>
      <c r="E74" s="7"/>
      <c r="F74" s="8"/>
      <c r="G74" s="7"/>
      <c r="H74" s="44"/>
      <c r="I74" s="7"/>
      <c r="J74" s="20"/>
    </row>
    <row r="75" spans="1:33" x14ac:dyDescent="0.2">
      <c r="A75" s="40"/>
      <c r="B75" s="52" t="s">
        <v>94</v>
      </c>
      <c r="C75" s="52"/>
      <c r="D75" s="65"/>
      <c r="E75" s="52"/>
      <c r="F75" s="53"/>
      <c r="G75" s="52"/>
      <c r="H75" s="65"/>
      <c r="I75" s="52"/>
      <c r="J75" s="54">
        <f>J56+J72</f>
        <v>296.58660837296304</v>
      </c>
    </row>
    <row r="76" spans="1:33" s="50" customFormat="1" x14ac:dyDescent="0.2">
      <c r="A76" s="68"/>
      <c r="B76" s="69" t="s">
        <v>95</v>
      </c>
      <c r="C76" s="69"/>
      <c r="D76" s="75"/>
      <c r="E76" s="69"/>
      <c r="F76" s="70"/>
      <c r="G76" s="69"/>
      <c r="H76" s="75"/>
      <c r="I76" s="69"/>
      <c r="J76" s="20">
        <f>J75/D14</f>
        <v>0.17446271080762532</v>
      </c>
      <c r="L76" s="68"/>
      <c r="M76" s="68"/>
      <c r="N76" s="68"/>
      <c r="O76" s="68"/>
      <c r="P76" s="68"/>
      <c r="Q76" s="68"/>
      <c r="R76" s="68"/>
      <c r="S76" s="68"/>
      <c r="T76" s="68"/>
      <c r="U76" s="68"/>
      <c r="V76" s="68"/>
      <c r="W76" s="68"/>
      <c r="X76" s="68"/>
      <c r="Y76" s="68"/>
      <c r="Z76" s="68"/>
      <c r="AA76" s="68"/>
      <c r="AB76" s="68"/>
      <c r="AC76" s="68"/>
      <c r="AD76" s="68"/>
      <c r="AE76" s="68"/>
      <c r="AF76" s="68"/>
      <c r="AG76" s="68"/>
    </row>
    <row r="77" spans="1:33" x14ac:dyDescent="0.2">
      <c r="A77" s="40"/>
      <c r="B77" s="7"/>
      <c r="C77" s="7"/>
      <c r="D77" s="44"/>
      <c r="E77" s="7"/>
      <c r="F77" s="8"/>
      <c r="G77" s="7"/>
      <c r="H77" s="44"/>
      <c r="I77" s="7"/>
      <c r="J77" s="20"/>
    </row>
    <row r="78" spans="1:33" s="47" customFormat="1" x14ac:dyDescent="0.2">
      <c r="A78" s="46"/>
      <c r="B78" s="52" t="s">
        <v>96</v>
      </c>
      <c r="C78" s="52"/>
      <c r="D78" s="65"/>
      <c r="E78" s="52"/>
      <c r="F78" s="53"/>
      <c r="G78" s="52"/>
      <c r="H78" s="65"/>
      <c r="I78" s="52"/>
      <c r="J78" s="54">
        <f>J14-J75</f>
        <v>-92.586608372963042</v>
      </c>
      <c r="L78" s="46"/>
      <c r="M78" s="46"/>
      <c r="N78" s="46"/>
      <c r="O78" s="46"/>
      <c r="P78" s="46"/>
      <c r="Q78" s="46"/>
      <c r="R78" s="46"/>
      <c r="S78" s="46"/>
      <c r="T78" s="46"/>
      <c r="U78" s="46"/>
      <c r="V78" s="46"/>
      <c r="W78" s="46"/>
      <c r="X78" s="46"/>
      <c r="Y78" s="46"/>
      <c r="Z78" s="46"/>
      <c r="AA78" s="46"/>
      <c r="AB78" s="46"/>
      <c r="AC78" s="46"/>
      <c r="AD78" s="46"/>
      <c r="AE78" s="46"/>
      <c r="AF78" s="46"/>
      <c r="AG78" s="46"/>
    </row>
    <row r="79" spans="1:33" x14ac:dyDescent="0.2">
      <c r="A79" s="40"/>
      <c r="B79" s="3"/>
      <c r="C79" s="3"/>
      <c r="D79" s="2"/>
      <c r="E79" s="3"/>
      <c r="F79" s="4"/>
      <c r="G79" s="3"/>
      <c r="H79" s="2"/>
      <c r="I79" s="3"/>
      <c r="J79" s="5"/>
      <c r="K79" s="1"/>
    </row>
    <row r="80" spans="1:33" x14ac:dyDescent="0.2">
      <c r="A80" s="40"/>
      <c r="B80" s="56" t="s">
        <v>97</v>
      </c>
      <c r="C80" s="56"/>
      <c r="D80" s="76"/>
      <c r="E80" s="56"/>
      <c r="F80" s="57"/>
      <c r="G80" s="56"/>
      <c r="H80" s="76"/>
      <c r="I80" s="56"/>
      <c r="J80" s="56"/>
      <c r="K80" s="14"/>
    </row>
    <row r="81" spans="1:10" s="457" customFormat="1" ht="15.6" customHeight="1" x14ac:dyDescent="0.2">
      <c r="B81" s="563" t="s">
        <v>466</v>
      </c>
      <c r="C81" s="563"/>
      <c r="D81" s="563"/>
      <c r="E81" s="563"/>
      <c r="F81" s="563"/>
      <c r="G81" s="563"/>
      <c r="H81" s="563"/>
      <c r="I81" s="563"/>
      <c r="J81" s="563"/>
    </row>
    <row r="82" spans="1:10" s="197" customFormat="1" ht="16.5" customHeight="1" x14ac:dyDescent="0.2">
      <c r="B82" s="563" t="s">
        <v>338</v>
      </c>
      <c r="C82" s="563"/>
      <c r="D82" s="563"/>
      <c r="E82" s="563"/>
      <c r="F82" s="563"/>
      <c r="G82" s="563"/>
      <c r="H82" s="563"/>
      <c r="I82" s="563"/>
      <c r="J82" s="563"/>
    </row>
    <row r="83" spans="1:10" s="197" customFormat="1" ht="30" customHeight="1" x14ac:dyDescent="0.2">
      <c r="B83" s="568" t="s">
        <v>339</v>
      </c>
      <c r="C83" s="569"/>
      <c r="D83" s="569"/>
      <c r="E83" s="569"/>
      <c r="F83" s="569"/>
      <c r="G83" s="569"/>
      <c r="H83" s="569"/>
      <c r="I83" s="569"/>
      <c r="J83" s="569"/>
    </row>
    <row r="84" spans="1:10" x14ac:dyDescent="0.2">
      <c r="A84" s="40"/>
      <c r="B84" s="7"/>
      <c r="C84" s="7"/>
      <c r="D84" s="44"/>
      <c r="E84" s="7"/>
      <c r="F84" s="8"/>
      <c r="G84" s="7"/>
      <c r="H84" s="44"/>
      <c r="I84" s="7"/>
      <c r="J84" s="7"/>
    </row>
    <row r="85" spans="1:10" x14ac:dyDescent="0.2">
      <c r="A85" s="40"/>
      <c r="B85" s="22" t="s">
        <v>98</v>
      </c>
      <c r="C85" s="7"/>
      <c r="D85" s="23" t="s">
        <v>99</v>
      </c>
      <c r="E85" s="7"/>
      <c r="F85" s="8"/>
      <c r="G85" s="7"/>
      <c r="H85" s="23" t="s">
        <v>101</v>
      </c>
      <c r="I85" s="7"/>
      <c r="J85" s="7"/>
    </row>
    <row r="86" spans="1:10" x14ac:dyDescent="0.2">
      <c r="A86" s="40"/>
      <c r="B86" s="7"/>
      <c r="C86" s="7"/>
      <c r="D86" s="24">
        <v>0.1</v>
      </c>
      <c r="E86" s="7"/>
      <c r="F86" s="8" t="s">
        <v>100</v>
      </c>
      <c r="G86" s="7"/>
      <c r="H86" s="24">
        <v>0.1</v>
      </c>
      <c r="I86" s="7"/>
      <c r="J86" s="7"/>
    </row>
    <row r="87" spans="1:10" x14ac:dyDescent="0.2">
      <c r="A87" s="40"/>
      <c r="B87" s="7"/>
      <c r="C87" s="7"/>
      <c r="D87" s="25"/>
      <c r="E87" s="3"/>
      <c r="F87" s="2" t="s">
        <v>102</v>
      </c>
      <c r="G87" s="3"/>
      <c r="H87" s="25"/>
      <c r="I87" s="7"/>
      <c r="J87" s="7"/>
    </row>
    <row r="88" spans="1:10" x14ac:dyDescent="0.2">
      <c r="A88" s="40"/>
      <c r="B88" s="26" t="s">
        <v>169</v>
      </c>
      <c r="C88" s="7"/>
      <c r="D88" s="151">
        <f>F88*(1-D86)</f>
        <v>1530</v>
      </c>
      <c r="E88" s="27"/>
      <c r="F88" s="28">
        <f>D14</f>
        <v>1700</v>
      </c>
      <c r="G88" s="27"/>
      <c r="H88" s="78">
        <f>F88*(1+H86)</f>
        <v>1870.0000000000002</v>
      </c>
      <c r="I88" s="7"/>
      <c r="J88" s="7"/>
    </row>
    <row r="89" spans="1:10" ht="4.5" customHeight="1" x14ac:dyDescent="0.2">
      <c r="A89" s="40"/>
      <c r="B89" s="7"/>
      <c r="C89" s="7"/>
      <c r="D89" s="44"/>
      <c r="E89" s="7"/>
      <c r="F89" s="8"/>
      <c r="G89" s="7"/>
      <c r="H89" s="44"/>
      <c r="I89" s="7"/>
      <c r="J89" s="7"/>
    </row>
    <row r="90" spans="1:10" x14ac:dyDescent="0.2">
      <c r="A90" s="40"/>
      <c r="B90" s="7" t="s">
        <v>170</v>
      </c>
      <c r="C90" s="7"/>
      <c r="D90" s="29">
        <f>$J$56/D88</f>
        <v>0.13911281593004121</v>
      </c>
      <c r="E90" s="7"/>
      <c r="F90" s="29">
        <f>$J$56/F88</f>
        <v>0.1252015343370371</v>
      </c>
      <c r="G90" s="7"/>
      <c r="H90" s="29">
        <f>$J$56/H88</f>
        <v>0.11381957667003371</v>
      </c>
      <c r="I90" s="7"/>
      <c r="J90" s="7"/>
    </row>
    <row r="91" spans="1:10" ht="4.5" customHeight="1" x14ac:dyDescent="0.2">
      <c r="A91" s="40"/>
      <c r="B91" s="7"/>
      <c r="C91" s="7"/>
      <c r="D91" s="44"/>
      <c r="E91" s="7"/>
      <c r="F91" s="8"/>
      <c r="G91" s="7"/>
      <c r="H91" s="44"/>
      <c r="I91" s="7"/>
      <c r="J91" s="7"/>
    </row>
    <row r="92" spans="1:10" x14ac:dyDescent="0.2">
      <c r="A92" s="40"/>
      <c r="B92" s="7" t="s">
        <v>171</v>
      </c>
      <c r="C92" s="7"/>
      <c r="D92" s="29">
        <f>$J$72/D88</f>
        <v>5.473464052287582E-2</v>
      </c>
      <c r="E92" s="7"/>
      <c r="F92" s="29">
        <f>$J$72/F88</f>
        <v>4.9261176470588232E-2</v>
      </c>
      <c r="G92" s="7"/>
      <c r="H92" s="29">
        <f>$J$72/H88</f>
        <v>4.4782887700534756E-2</v>
      </c>
      <c r="I92" s="7"/>
      <c r="J92" s="7"/>
    </row>
    <row r="93" spans="1:10" ht="3.75" customHeight="1" x14ac:dyDescent="0.2">
      <c r="A93" s="40"/>
      <c r="B93" s="7"/>
      <c r="C93" s="7"/>
      <c r="D93" s="44"/>
      <c r="E93" s="7"/>
      <c r="F93" s="8"/>
      <c r="G93" s="7"/>
      <c r="H93" s="44"/>
      <c r="I93" s="7"/>
      <c r="J93" s="7"/>
    </row>
    <row r="94" spans="1:10" x14ac:dyDescent="0.2">
      <c r="A94" s="40"/>
      <c r="B94" s="7" t="s">
        <v>188</v>
      </c>
      <c r="C94" s="7"/>
      <c r="D94" s="29">
        <f>$J$75/D88</f>
        <v>0.19384745645291701</v>
      </c>
      <c r="E94" s="7"/>
      <c r="F94" s="29">
        <f>$J$75/F88</f>
        <v>0.17446271080762532</v>
      </c>
      <c r="G94" s="7"/>
      <c r="H94" s="29">
        <f>$J$75/H88</f>
        <v>0.15860246437056846</v>
      </c>
      <c r="I94" s="7"/>
      <c r="J94" s="7"/>
    </row>
    <row r="95" spans="1:10" ht="5.25" customHeight="1" x14ac:dyDescent="0.2">
      <c r="A95" s="40"/>
      <c r="B95" s="11"/>
      <c r="C95" s="11"/>
      <c r="D95" s="72"/>
      <c r="E95" s="11"/>
      <c r="F95" s="15"/>
      <c r="G95" s="11"/>
      <c r="H95" s="72"/>
      <c r="I95" s="11"/>
      <c r="J95" s="11"/>
    </row>
    <row r="96" spans="1:10" ht="12.75" customHeight="1" x14ac:dyDescent="0.2">
      <c r="A96" s="40"/>
      <c r="B96" s="11"/>
      <c r="C96" s="11"/>
      <c r="D96" s="23" t="s">
        <v>99</v>
      </c>
      <c r="E96" s="7"/>
      <c r="F96" s="8"/>
      <c r="G96" s="7"/>
      <c r="H96" s="23" t="s">
        <v>101</v>
      </c>
      <c r="I96" s="11"/>
      <c r="J96" s="11"/>
    </row>
    <row r="97" spans="1:10" x14ac:dyDescent="0.2">
      <c r="A97" s="40"/>
      <c r="B97" s="7"/>
      <c r="C97" s="7"/>
      <c r="D97" s="24">
        <v>0.1</v>
      </c>
      <c r="E97" s="7"/>
      <c r="F97" s="8" t="s">
        <v>100</v>
      </c>
      <c r="G97" s="7"/>
      <c r="H97" s="24">
        <v>0.1</v>
      </c>
      <c r="I97" s="7"/>
      <c r="J97" s="7"/>
    </row>
    <row r="98" spans="1:10" x14ac:dyDescent="0.2">
      <c r="A98" s="40"/>
      <c r="B98" s="7"/>
      <c r="C98" s="7"/>
      <c r="D98" s="2"/>
      <c r="E98" s="3"/>
      <c r="F98" s="4" t="s">
        <v>169</v>
      </c>
      <c r="G98" s="3"/>
      <c r="H98" s="2"/>
      <c r="I98" s="7"/>
      <c r="J98" s="7"/>
    </row>
    <row r="99" spans="1:10" x14ac:dyDescent="0.2">
      <c r="A99" s="40"/>
      <c r="B99" s="26" t="s">
        <v>102</v>
      </c>
      <c r="C99" s="7"/>
      <c r="D99" s="30">
        <f>F99*(1-D86)</f>
        <v>0.108</v>
      </c>
      <c r="E99" s="27"/>
      <c r="F99" s="31">
        <f>H14</f>
        <v>0.12</v>
      </c>
      <c r="G99" s="27"/>
      <c r="H99" s="30">
        <f>F99*(1+H86)</f>
        <v>0.13200000000000001</v>
      </c>
      <c r="I99" s="7"/>
      <c r="J99" s="7"/>
    </row>
    <row r="100" spans="1:10" ht="4.5" customHeight="1" x14ac:dyDescent="0.2">
      <c r="A100" s="40"/>
      <c r="B100" s="7"/>
      <c r="C100" s="7"/>
      <c r="D100" s="44"/>
      <c r="E100" s="7"/>
      <c r="F100" s="8"/>
      <c r="G100" s="7"/>
      <c r="H100" s="44"/>
      <c r="I100" s="7"/>
      <c r="J100" s="7"/>
    </row>
    <row r="101" spans="1:10" x14ac:dyDescent="0.2">
      <c r="A101" s="40"/>
      <c r="B101" s="7" t="s">
        <v>170</v>
      </c>
      <c r="C101" s="7"/>
      <c r="D101" s="32">
        <f>$J$56/D99</f>
        <v>1970.7648923422507</v>
      </c>
      <c r="E101" s="7"/>
      <c r="F101" s="32">
        <f>$J$56/F99</f>
        <v>1773.6884031080256</v>
      </c>
      <c r="G101" s="7"/>
      <c r="H101" s="32">
        <f>$J$56/H99</f>
        <v>1612.4440028254778</v>
      </c>
      <c r="I101" s="7"/>
      <c r="J101" s="7"/>
    </row>
    <row r="102" spans="1:10" ht="3" customHeight="1" x14ac:dyDescent="0.2">
      <c r="A102" s="40"/>
      <c r="B102" s="7"/>
      <c r="C102" s="7"/>
      <c r="D102" s="44"/>
      <c r="E102" s="7"/>
      <c r="F102" s="8"/>
      <c r="G102" s="7"/>
      <c r="H102" s="44"/>
      <c r="I102" s="7"/>
      <c r="J102" s="7"/>
    </row>
    <row r="103" spans="1:10" x14ac:dyDescent="0.2">
      <c r="A103" s="40"/>
      <c r="B103" s="7" t="s">
        <v>171</v>
      </c>
      <c r="C103" s="7"/>
      <c r="D103" s="32">
        <f>$J$72/D99</f>
        <v>775.40740740740739</v>
      </c>
      <c r="E103" s="7"/>
      <c r="F103" s="32">
        <f>$J$72/F99</f>
        <v>697.86666666666667</v>
      </c>
      <c r="G103" s="7"/>
      <c r="H103" s="32">
        <f>$J$72/H99</f>
        <v>634.42424242424238</v>
      </c>
      <c r="I103" s="7"/>
      <c r="J103" s="7"/>
    </row>
    <row r="104" spans="1:10" ht="3.75" customHeight="1" x14ac:dyDescent="0.2">
      <c r="A104" s="40"/>
      <c r="B104" s="7"/>
      <c r="C104" s="7"/>
      <c r="D104" s="44"/>
      <c r="E104" s="7"/>
      <c r="F104" s="8"/>
      <c r="G104" s="7"/>
      <c r="H104" s="44"/>
      <c r="I104" s="7"/>
      <c r="J104" s="7"/>
    </row>
    <row r="105" spans="1:10" x14ac:dyDescent="0.2">
      <c r="A105" s="40"/>
      <c r="B105" s="7" t="s">
        <v>188</v>
      </c>
      <c r="C105" s="7"/>
      <c r="D105" s="32">
        <f>$J$75/D99</f>
        <v>2746.1722997496577</v>
      </c>
      <c r="E105" s="7"/>
      <c r="F105" s="32">
        <f>$J$75/F99</f>
        <v>2471.5550697746921</v>
      </c>
      <c r="G105" s="7"/>
      <c r="H105" s="32">
        <f>$J$75/H99</f>
        <v>2246.8682452497201</v>
      </c>
      <c r="I105" s="7"/>
      <c r="J105" s="7"/>
    </row>
    <row r="106" spans="1:10" ht="5.25" customHeight="1" x14ac:dyDescent="0.2">
      <c r="A106" s="40"/>
      <c r="B106" s="7"/>
      <c r="C106" s="7"/>
      <c r="D106" s="44"/>
      <c r="E106" s="7"/>
      <c r="F106" s="8"/>
      <c r="G106" s="7"/>
      <c r="H106" s="44"/>
      <c r="I106" s="7"/>
      <c r="J106" s="7"/>
    </row>
    <row r="107" spans="1:10" ht="7.5" customHeight="1" x14ac:dyDescent="0.2">
      <c r="A107" s="40"/>
      <c r="B107" s="3"/>
      <c r="C107" s="3"/>
      <c r="D107" s="2"/>
      <c r="E107" s="3"/>
      <c r="F107" s="4"/>
      <c r="G107" s="3"/>
      <c r="H107" s="2"/>
      <c r="I107" s="3"/>
      <c r="J107" s="3"/>
    </row>
    <row r="108" spans="1:10" s="40" customFormat="1" x14ac:dyDescent="0.2">
      <c r="D108" s="58"/>
      <c r="F108" s="41"/>
      <c r="H108" s="58"/>
    </row>
    <row r="109" spans="1:10" s="40" customFormat="1" x14ac:dyDescent="0.2">
      <c r="D109" s="58"/>
      <c r="F109" s="41"/>
      <c r="H109" s="58"/>
    </row>
    <row r="110" spans="1:10" s="40" customFormat="1" x14ac:dyDescent="0.2">
      <c r="D110" s="58"/>
      <c r="F110" s="41"/>
      <c r="H110" s="58"/>
    </row>
    <row r="111" spans="1:10" s="40" customFormat="1" x14ac:dyDescent="0.2">
      <c r="D111" s="58"/>
      <c r="F111" s="41"/>
      <c r="H111" s="58"/>
    </row>
    <row r="112" spans="1: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sheetData>
  <customSheetViews>
    <customSheetView guid="{5519EDA0-AC19-11DC-BDFC-0017F2D6B148}" showPageBreaks="1" hiddenColumns="1" view="pageLayout">
      <selection activeCell="J31" sqref="J31"/>
      <pageMargins left="0.25" right="0.25" top="0.25" bottom="1" header="0.5" footer="0.5"/>
      <pageSetup paperSize="0" orientation="portrait" horizontalDpi="4294967292" verticalDpi="4294967292"/>
      <headerFooter alignWithMargins="0"/>
    </customSheetView>
  </customSheetViews>
  <mergeCells count="6">
    <mergeCell ref="B82:J82"/>
    <mergeCell ref="B83:J83"/>
    <mergeCell ref="B3:J3"/>
    <mergeCell ref="B6:J6"/>
    <mergeCell ref="B8:J8"/>
    <mergeCell ref="B81:J81"/>
  </mergeCells>
  <phoneticPr fontId="7"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9" min="1" max="9" man="1"/>
  </rowBreaks>
  <ignoredErrors>
    <ignoredError sqref="J22:J23 J35 J42 J47 J51 J56"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8:A77"/>
  <sheetViews>
    <sheetView topLeftCell="A91" zoomScaleNormal="100" workbookViewId="0">
      <selection activeCell="Q11" sqref="Q11"/>
    </sheetView>
  </sheetViews>
  <sheetFormatPr defaultColWidth="9.140625" defaultRowHeight="12.75" x14ac:dyDescent="0.2"/>
  <cols>
    <col min="1" max="16384" width="9.140625" style="337"/>
  </cols>
  <sheetData>
    <row r="68" ht="1.5" customHeight="1" x14ac:dyDescent="0.2"/>
    <row r="69" hidden="1" x14ac:dyDescent="0.2"/>
    <row r="70" hidden="1" x14ac:dyDescent="0.2"/>
    <row r="71" hidden="1" x14ac:dyDescent="0.2"/>
    <row r="72" hidden="1" x14ac:dyDescent="0.2"/>
    <row r="77" ht="9" customHeight="1" x14ac:dyDescent="0.2"/>
  </sheetData>
  <pageMargins left="0.7" right="0.7" top="0.5" bottom="0.65" header="0.3" footer="0.3"/>
  <pageSetup scale="66" fitToHeight="2" orientation="portrait" r:id="rId1"/>
  <headerFooter>
    <oddFooter>&amp;L&amp;A&amp;C&amp;F&amp;R&amp;D</oddFooter>
  </headerFooter>
  <rowBreaks count="1" manualBreakCount="1">
    <brk id="87"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topLeftCell="A42" zoomScaleNormal="100" workbookViewId="0">
      <selection activeCell="B44" sqref="B44"/>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71" t="s">
        <v>530</v>
      </c>
      <c r="C2" s="578"/>
      <c r="D2" s="578"/>
      <c r="E2" s="578"/>
      <c r="F2" s="40"/>
      <c r="G2" s="40"/>
      <c r="H2" s="40"/>
      <c r="I2" s="40"/>
    </row>
    <row r="3" spans="2:9" ht="6" customHeight="1" x14ac:dyDescent="0.25">
      <c r="B3" s="180"/>
      <c r="C3" s="175"/>
      <c r="D3" s="175"/>
      <c r="E3" s="175"/>
      <c r="F3" s="40"/>
      <c r="G3" s="40"/>
      <c r="H3" s="40"/>
      <c r="I3" s="40"/>
    </row>
    <row r="4" spans="2:9" ht="33" customHeight="1" x14ac:dyDescent="0.2">
      <c r="B4" s="183" t="s">
        <v>287</v>
      </c>
      <c r="C4" s="183" t="s">
        <v>289</v>
      </c>
      <c r="D4" s="183" t="s">
        <v>291</v>
      </c>
      <c r="E4" s="183" t="s">
        <v>292</v>
      </c>
      <c r="F4" s="40"/>
      <c r="G4" s="40"/>
      <c r="H4" s="40"/>
      <c r="I4" s="40"/>
    </row>
    <row r="5" spans="2:9" x14ac:dyDescent="0.2">
      <c r="B5" s="449"/>
      <c r="C5" s="449"/>
      <c r="D5" s="449"/>
      <c r="E5" s="449"/>
      <c r="F5" s="40"/>
      <c r="G5" s="40"/>
      <c r="H5" s="40"/>
      <c r="I5" s="40"/>
    </row>
    <row r="6" spans="2:9" x14ac:dyDescent="0.2">
      <c r="B6" s="450" t="s">
        <v>271</v>
      </c>
      <c r="C6" s="450" t="s">
        <v>272</v>
      </c>
      <c r="D6" s="450" t="s">
        <v>20</v>
      </c>
      <c r="E6" s="450"/>
      <c r="F6" s="40"/>
      <c r="G6" s="40"/>
      <c r="H6" s="40"/>
      <c r="I6" s="40"/>
    </row>
    <row r="7" spans="2:9" x14ac:dyDescent="0.2">
      <c r="B7" s="446"/>
      <c r="C7" s="446"/>
      <c r="D7" s="446"/>
      <c r="E7" s="446"/>
      <c r="F7" s="40"/>
      <c r="G7" s="40"/>
      <c r="H7" s="40"/>
      <c r="I7" s="40"/>
    </row>
    <row r="8" spans="2:9" x14ac:dyDescent="0.2">
      <c r="B8" s="446" t="s">
        <v>154</v>
      </c>
      <c r="C8" s="446" t="s">
        <v>272</v>
      </c>
      <c r="D8" s="447" t="s">
        <v>450</v>
      </c>
      <c r="E8" s="446"/>
      <c r="F8" s="40"/>
      <c r="G8" s="40"/>
      <c r="H8" s="40"/>
      <c r="I8" s="40"/>
    </row>
    <row r="9" spans="2:9" x14ac:dyDescent="0.2">
      <c r="B9" s="449"/>
      <c r="C9" s="449"/>
      <c r="D9" s="449" t="s">
        <v>53</v>
      </c>
      <c r="E9" s="449"/>
      <c r="F9" s="40"/>
      <c r="G9" s="40"/>
      <c r="H9" s="40"/>
      <c r="I9" s="40"/>
    </row>
    <row r="10" spans="2:9" x14ac:dyDescent="0.2">
      <c r="B10" s="450" t="s">
        <v>154</v>
      </c>
      <c r="C10" s="450" t="s">
        <v>260</v>
      </c>
      <c r="D10" s="450" t="s">
        <v>272</v>
      </c>
      <c r="E10" s="450"/>
      <c r="F10" s="40"/>
      <c r="G10" s="40"/>
      <c r="H10" s="40"/>
      <c r="I10" s="40"/>
    </row>
    <row r="11" spans="2:9" x14ac:dyDescent="0.2">
      <c r="B11" s="446"/>
      <c r="C11" s="446"/>
      <c r="D11" s="446" t="s">
        <v>24</v>
      </c>
      <c r="E11" s="446"/>
      <c r="F11" s="40"/>
      <c r="G11" s="40"/>
      <c r="H11" s="40"/>
      <c r="I11" s="40"/>
    </row>
    <row r="12" spans="2:9" x14ac:dyDescent="0.2">
      <c r="B12" s="445" t="s">
        <v>154</v>
      </c>
      <c r="C12" s="445" t="s">
        <v>117</v>
      </c>
      <c r="D12" s="445" t="s">
        <v>196</v>
      </c>
      <c r="E12" s="448" t="s">
        <v>470</v>
      </c>
      <c r="F12" s="40"/>
      <c r="G12" s="40"/>
      <c r="H12" s="40"/>
      <c r="I12" s="40"/>
    </row>
    <row r="13" spans="2:9" x14ac:dyDescent="0.2">
      <c r="B13" s="452"/>
      <c r="C13" s="452"/>
      <c r="D13" s="452"/>
      <c r="E13" s="453" t="s">
        <v>452</v>
      </c>
      <c r="F13" s="40"/>
      <c r="G13" s="40"/>
      <c r="H13" s="40"/>
      <c r="I13" s="40"/>
    </row>
    <row r="14" spans="2:9" x14ac:dyDescent="0.2">
      <c r="B14" s="450" t="s">
        <v>154</v>
      </c>
      <c r="C14" s="453" t="s">
        <v>420</v>
      </c>
      <c r="D14" s="453" t="s">
        <v>449</v>
      </c>
      <c r="E14" s="450" t="s">
        <v>127</v>
      </c>
      <c r="F14" s="40"/>
      <c r="G14" s="40"/>
      <c r="H14" s="40"/>
      <c r="I14" s="40"/>
    </row>
    <row r="15" spans="2:9" x14ac:dyDescent="0.2">
      <c r="B15" s="444"/>
      <c r="C15" s="444"/>
      <c r="D15" s="444"/>
      <c r="E15" s="444"/>
      <c r="F15" s="40"/>
      <c r="G15" s="40"/>
      <c r="H15" s="40"/>
      <c r="I15" s="40"/>
    </row>
    <row r="16" spans="2:9" x14ac:dyDescent="0.2">
      <c r="B16" s="445" t="s">
        <v>275</v>
      </c>
      <c r="C16" s="445" t="s">
        <v>241</v>
      </c>
      <c r="D16" s="445" t="s">
        <v>62</v>
      </c>
      <c r="E16" s="445" t="s">
        <v>128</v>
      </c>
      <c r="F16" s="40"/>
      <c r="G16" s="40"/>
      <c r="H16" s="40"/>
      <c r="I16" s="40"/>
    </row>
    <row r="17" spans="2:9" x14ac:dyDescent="0.2">
      <c r="B17" s="449"/>
      <c r="C17" s="449"/>
      <c r="D17" s="449"/>
      <c r="E17" s="449"/>
      <c r="F17" s="40"/>
      <c r="G17" s="40"/>
      <c r="H17" s="40"/>
      <c r="I17" s="40"/>
    </row>
    <row r="18" spans="2:9" x14ac:dyDescent="0.2">
      <c r="B18" s="450" t="s">
        <v>275</v>
      </c>
      <c r="C18" s="450" t="s">
        <v>155</v>
      </c>
      <c r="D18" s="450"/>
      <c r="E18" s="450"/>
      <c r="F18" s="40"/>
      <c r="G18" s="40"/>
      <c r="H18" s="40"/>
      <c r="I18" s="40"/>
    </row>
    <row r="19" spans="2:9" x14ac:dyDescent="0.2">
      <c r="B19" s="444"/>
      <c r="C19" s="444"/>
      <c r="D19" s="444"/>
      <c r="E19" s="444" t="s">
        <v>66</v>
      </c>
      <c r="F19" s="40"/>
      <c r="G19" s="40"/>
      <c r="H19" s="40"/>
      <c r="I19" s="40"/>
    </row>
    <row r="20" spans="2:9" x14ac:dyDescent="0.2">
      <c r="B20" s="445" t="s">
        <v>213</v>
      </c>
      <c r="C20" s="445" t="s">
        <v>118</v>
      </c>
      <c r="D20" s="445" t="s">
        <v>352</v>
      </c>
      <c r="E20" s="445" t="s">
        <v>65</v>
      </c>
      <c r="F20" s="40"/>
      <c r="G20" s="40"/>
      <c r="H20" s="40"/>
      <c r="I20" s="40"/>
    </row>
    <row r="21" spans="2:9" ht="12" customHeight="1" x14ac:dyDescent="0.2">
      <c r="B21" s="449"/>
      <c r="C21" s="449"/>
      <c r="D21" s="449"/>
      <c r="E21" s="449"/>
      <c r="F21" s="40"/>
      <c r="G21" s="40"/>
      <c r="H21" s="40"/>
      <c r="I21" s="40"/>
    </row>
    <row r="22" spans="2:9" ht="12" customHeight="1" x14ac:dyDescent="0.2">
      <c r="B22" s="450" t="s">
        <v>288</v>
      </c>
      <c r="C22" s="450" t="s">
        <v>293</v>
      </c>
      <c r="D22" s="450" t="s">
        <v>28</v>
      </c>
      <c r="E22" s="450"/>
      <c r="F22" s="40"/>
      <c r="G22" s="40"/>
      <c r="H22" s="40"/>
      <c r="I22" s="40"/>
    </row>
    <row r="23" spans="2:9" x14ac:dyDescent="0.2">
      <c r="B23" s="40"/>
      <c r="C23" s="40"/>
      <c r="D23" s="40"/>
      <c r="E23" s="40"/>
      <c r="F23" s="40"/>
      <c r="G23" s="40"/>
      <c r="H23" s="40"/>
      <c r="I23" s="40"/>
    </row>
    <row r="24" spans="2:9" x14ac:dyDescent="0.2">
      <c r="B24" s="40"/>
      <c r="C24" s="40"/>
      <c r="D24" s="40"/>
      <c r="E24" s="40"/>
      <c r="F24" s="40"/>
      <c r="G24" s="40"/>
      <c r="H24" s="40"/>
      <c r="I24" s="40"/>
    </row>
    <row r="25" spans="2:9" x14ac:dyDescent="0.2">
      <c r="B25" s="40"/>
      <c r="C25" s="40"/>
      <c r="D25" s="40"/>
      <c r="E25" s="40"/>
      <c r="F25" s="40"/>
      <c r="G25" s="40"/>
      <c r="H25" s="40"/>
      <c r="I25" s="40"/>
    </row>
    <row r="26" spans="2:9" x14ac:dyDescent="0.2">
      <c r="B26" s="40"/>
      <c r="C26" s="40"/>
      <c r="D26" s="40"/>
      <c r="E26" s="40"/>
      <c r="F26" s="40"/>
      <c r="G26" s="40"/>
      <c r="H26" s="40"/>
      <c r="I26" s="40"/>
    </row>
    <row r="27" spans="2:9" x14ac:dyDescent="0.2">
      <c r="B27" s="40"/>
      <c r="C27" s="40"/>
      <c r="D27" s="40"/>
      <c r="E27" s="40"/>
      <c r="F27" s="40"/>
      <c r="G27" s="40"/>
      <c r="H27" s="40"/>
      <c r="I27" s="40"/>
    </row>
    <row r="28" spans="2:9" x14ac:dyDescent="0.2">
      <c r="B28" s="40"/>
      <c r="C28" s="40"/>
      <c r="D28" s="40"/>
      <c r="E28" s="40"/>
      <c r="F28" s="40"/>
      <c r="G28" s="40"/>
      <c r="H28" s="40"/>
      <c r="I28" s="40"/>
    </row>
    <row r="29" spans="2:9" x14ac:dyDescent="0.2">
      <c r="B29" s="40"/>
      <c r="C29" s="40"/>
      <c r="D29" s="40"/>
      <c r="E29" s="40"/>
      <c r="F29" s="40"/>
      <c r="G29" s="40"/>
      <c r="H29" s="40"/>
      <c r="I29" s="40"/>
    </row>
    <row r="30" spans="2:9" x14ac:dyDescent="0.2">
      <c r="B30" s="40"/>
      <c r="C30" s="40"/>
      <c r="D30" s="40"/>
      <c r="E30" s="40"/>
      <c r="F30" s="40"/>
      <c r="G30" s="40"/>
      <c r="H30" s="40"/>
      <c r="I30" s="40"/>
    </row>
    <row r="31" spans="2:9" x14ac:dyDescent="0.2">
      <c r="B31" s="40"/>
      <c r="C31" s="40"/>
      <c r="D31" s="40"/>
      <c r="E31" s="40"/>
      <c r="F31" s="40"/>
      <c r="G31" s="40"/>
      <c r="H31" s="40"/>
      <c r="I31" s="40"/>
    </row>
    <row r="32" spans="2:9" x14ac:dyDescent="0.2">
      <c r="B32" s="40"/>
      <c r="C32" s="40"/>
      <c r="D32" s="40"/>
      <c r="E32" s="40"/>
      <c r="F32" s="40"/>
      <c r="G32" s="40"/>
      <c r="H32" s="40"/>
      <c r="I32" s="40"/>
    </row>
    <row r="33" spans="2:9" x14ac:dyDescent="0.2">
      <c r="B33" s="40"/>
      <c r="C33" s="40"/>
      <c r="D33" s="40"/>
      <c r="E33" s="40"/>
      <c r="F33" s="40"/>
      <c r="G33" s="40"/>
      <c r="H33" s="40"/>
      <c r="I33" s="40"/>
    </row>
    <row r="34" spans="2:9" x14ac:dyDescent="0.2">
      <c r="B34" s="40"/>
      <c r="C34" s="40"/>
      <c r="D34" s="40"/>
      <c r="E34" s="40"/>
      <c r="F34" s="40"/>
      <c r="G34" s="40"/>
      <c r="H34" s="40"/>
      <c r="I34" s="40"/>
    </row>
    <row r="35" spans="2:9" x14ac:dyDescent="0.2">
      <c r="B35" s="40"/>
      <c r="C35" s="40"/>
      <c r="D35" s="40"/>
      <c r="E35" s="40"/>
      <c r="F35" s="40"/>
      <c r="G35" s="40"/>
      <c r="H35" s="40"/>
      <c r="I35" s="40"/>
    </row>
    <row r="36" spans="2:9" x14ac:dyDescent="0.2">
      <c r="B36" s="40"/>
      <c r="C36" s="40"/>
      <c r="D36" s="40"/>
      <c r="E36" s="40"/>
      <c r="F36" s="40"/>
      <c r="G36" s="40"/>
      <c r="H36" s="40"/>
      <c r="I36" s="40"/>
    </row>
    <row r="37" spans="2:9" x14ac:dyDescent="0.2">
      <c r="B37" s="40"/>
      <c r="C37" s="40"/>
      <c r="D37" s="40"/>
      <c r="E37" s="40"/>
      <c r="F37" s="40"/>
      <c r="G37" s="40"/>
      <c r="H37" s="40"/>
      <c r="I37" s="40"/>
    </row>
    <row r="38" spans="2:9" x14ac:dyDescent="0.2">
      <c r="B38" s="40"/>
      <c r="C38" s="40"/>
      <c r="D38" s="40"/>
      <c r="E38" s="40"/>
      <c r="F38" s="40"/>
      <c r="G38" s="40"/>
      <c r="H38" s="40"/>
      <c r="I38" s="40"/>
    </row>
    <row r="39" spans="2:9" x14ac:dyDescent="0.2">
      <c r="B39" s="40"/>
      <c r="C39" s="40"/>
      <c r="D39" s="40"/>
      <c r="E39" s="40"/>
      <c r="F39" s="40"/>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F45" s="40"/>
      <c r="G45" s="40"/>
      <c r="H45" s="40"/>
      <c r="I45" s="40"/>
    </row>
    <row r="46" spans="2:9" x14ac:dyDescent="0.2">
      <c r="F46" s="40"/>
      <c r="G46" s="40"/>
      <c r="H46" s="40"/>
      <c r="I46" s="40"/>
    </row>
    <row r="47" spans="2:9" x14ac:dyDescent="0.2">
      <c r="F47" s="40"/>
      <c r="G47" s="40"/>
      <c r="H47" s="40"/>
      <c r="I47" s="40"/>
    </row>
    <row r="48" spans="2:9" x14ac:dyDescent="0.2">
      <c r="F48" s="40"/>
      <c r="G48" s="40"/>
      <c r="H48" s="40"/>
      <c r="I48" s="40"/>
    </row>
    <row r="49" spans="6:9" x14ac:dyDescent="0.2">
      <c r="F49" s="40"/>
      <c r="G49" s="40"/>
      <c r="H49" s="40"/>
      <c r="I49" s="40"/>
    </row>
    <row r="50" spans="6:9" x14ac:dyDescent="0.2">
      <c r="F50" s="40"/>
      <c r="G50" s="40"/>
      <c r="H50" s="40"/>
      <c r="I50" s="40"/>
    </row>
    <row r="51" spans="6:9" x14ac:dyDescent="0.2">
      <c r="F51" s="40"/>
      <c r="G51" s="40"/>
      <c r="H51" s="40"/>
      <c r="I51" s="40"/>
    </row>
    <row r="52" spans="6:9" x14ac:dyDescent="0.2">
      <c r="F52" s="40"/>
      <c r="G52" s="40"/>
      <c r="H52" s="40"/>
      <c r="I52" s="40"/>
    </row>
    <row r="53" spans="6:9" x14ac:dyDescent="0.2">
      <c r="F53" s="40"/>
      <c r="G53" s="40"/>
      <c r="H53" s="40"/>
      <c r="I53"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97" orientation="portrait" r:id="rId1"/>
  <headerFooter alignWithMargins="0">
    <oddFooter>&amp;L&amp;A&amp;C&amp;F&amp;R&amp;D</oddFooter>
  </headerFooter>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1"/>
  <sheetViews>
    <sheetView zoomScaleNormal="100" workbookViewId="0"/>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ht="7.5" customHeight="1" x14ac:dyDescent="0.2">
      <c r="A7" s="40"/>
      <c r="B7" s="40"/>
      <c r="C7" s="40"/>
      <c r="D7" s="58"/>
      <c r="E7" s="40"/>
      <c r="F7" s="41"/>
      <c r="G7" s="40"/>
      <c r="H7" s="58"/>
      <c r="I7" s="40"/>
      <c r="J7" s="40"/>
    </row>
    <row r="8" spans="1:44" s="92" customFormat="1" ht="31.5" customHeight="1" x14ac:dyDescent="0.25">
      <c r="A8" s="91"/>
      <c r="B8" s="576" t="s">
        <v>531</v>
      </c>
      <c r="C8" s="572"/>
      <c r="D8" s="572"/>
      <c r="E8" s="572"/>
      <c r="F8" s="572"/>
      <c r="G8" s="572"/>
      <c r="H8" s="572"/>
      <c r="I8" s="572"/>
      <c r="J8" s="572"/>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249</v>
      </c>
      <c r="E10" s="83"/>
      <c r="F10" s="84"/>
      <c r="G10" s="83"/>
      <c r="H10" s="83" t="s">
        <v>250</v>
      </c>
      <c r="I10" s="83"/>
      <c r="J10" s="85"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252</v>
      </c>
      <c r="C11" s="220"/>
      <c r="D11" s="87" t="s">
        <v>156</v>
      </c>
      <c r="E11" s="87"/>
      <c r="F11" s="221" t="s">
        <v>157</v>
      </c>
      <c r="G11" s="87"/>
      <c r="H11" s="87" t="s">
        <v>5</v>
      </c>
      <c r="I11" s="87"/>
      <c r="J11" s="222"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199</v>
      </c>
      <c r="C13" s="7"/>
      <c r="D13" s="44"/>
      <c r="E13" s="7"/>
      <c r="F13" s="8"/>
      <c r="G13" s="7"/>
      <c r="H13" s="44"/>
      <c r="I13" s="7"/>
      <c r="J13" s="9"/>
    </row>
    <row r="14" spans="1:44" x14ac:dyDescent="0.2">
      <c r="A14" s="40"/>
      <c r="B14" s="10" t="s">
        <v>401</v>
      </c>
      <c r="C14" s="11"/>
      <c r="D14" s="363">
        <f>yawp</f>
        <v>2000</v>
      </c>
      <c r="E14" s="11"/>
      <c r="F14" s="12" t="s">
        <v>189</v>
      </c>
      <c r="G14" s="11"/>
      <c r="H14" s="364">
        <f>pawp</f>
        <v>0.25</v>
      </c>
      <c r="I14" s="11"/>
      <c r="J14" s="13">
        <f>D14*H14</f>
        <v>500</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167</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200</v>
      </c>
      <c r="C18" s="7"/>
      <c r="D18" s="66"/>
      <c r="E18" s="7"/>
      <c r="F18" s="8"/>
      <c r="G18" s="7"/>
      <c r="H18" s="61"/>
      <c r="I18" s="7"/>
      <c r="J18" s="325">
        <f>SUM(J19:J19)</f>
        <v>38</v>
      </c>
    </row>
    <row r="19" spans="1:33" x14ac:dyDescent="0.2">
      <c r="A19" s="40"/>
      <c r="B19" s="10" t="s">
        <v>406</v>
      </c>
      <c r="C19" s="11"/>
      <c r="D19" s="361">
        <v>100</v>
      </c>
      <c r="E19" s="11"/>
      <c r="F19" s="12" t="s">
        <v>189</v>
      </c>
      <c r="G19" s="11"/>
      <c r="H19" s="356">
        <f>Pea</f>
        <v>0.38</v>
      </c>
      <c r="I19" s="11"/>
      <c r="J19" s="13">
        <f>D19*H19</f>
        <v>38</v>
      </c>
    </row>
    <row r="20" spans="1:33" ht="5.0999999999999996" customHeight="1" x14ac:dyDescent="0.2">
      <c r="A20" s="40"/>
      <c r="B20" s="7"/>
      <c r="C20" s="7"/>
      <c r="D20" s="44"/>
      <c r="E20" s="7"/>
      <c r="F20" s="8"/>
      <c r="G20" s="7"/>
      <c r="H20" s="61"/>
      <c r="I20" s="7"/>
      <c r="J20" s="16"/>
    </row>
    <row r="21" spans="1:33" x14ac:dyDescent="0.2">
      <c r="A21" s="40"/>
      <c r="B21" s="52" t="s">
        <v>212</v>
      </c>
      <c r="C21" s="7"/>
      <c r="D21" s="44"/>
      <c r="E21" s="7"/>
      <c r="F21" s="8"/>
      <c r="G21" s="7"/>
      <c r="H21" s="61"/>
      <c r="I21" s="7"/>
      <c r="J21" s="325">
        <f>SUM(J22:J23)</f>
        <v>0</v>
      </c>
      <c r="M21" s="42"/>
    </row>
    <row r="22" spans="1:33" x14ac:dyDescent="0.2">
      <c r="A22" s="40"/>
      <c r="B22" s="18"/>
      <c r="C22" s="7"/>
      <c r="D22" s="191"/>
      <c r="E22" s="7"/>
      <c r="F22" s="19"/>
      <c r="G22" s="7"/>
      <c r="H22" s="192"/>
      <c r="I22" s="7"/>
      <c r="J22" s="20">
        <f>D22*H22</f>
        <v>0</v>
      </c>
    </row>
    <row r="23" spans="1:33" x14ac:dyDescent="0.2">
      <c r="A23" s="40"/>
      <c r="B23" s="18"/>
      <c r="C23" s="7"/>
      <c r="D23" s="191"/>
      <c r="E23" s="7"/>
      <c r="F23" s="19"/>
      <c r="G23" s="7"/>
      <c r="H23" s="192"/>
      <c r="I23" s="7"/>
      <c r="J23" s="20">
        <f>D23*H23</f>
        <v>0</v>
      </c>
    </row>
    <row r="24" spans="1:33" ht="5.0999999999999996" customHeight="1" x14ac:dyDescent="0.2">
      <c r="A24" s="40"/>
      <c r="B24" s="7"/>
      <c r="C24" s="7"/>
      <c r="D24" s="44"/>
      <c r="E24" s="7"/>
      <c r="F24" s="8"/>
      <c r="G24" s="7"/>
      <c r="H24" s="61"/>
      <c r="I24" s="7"/>
      <c r="J24" s="20"/>
    </row>
    <row r="25" spans="1:33" x14ac:dyDescent="0.2">
      <c r="A25" s="40"/>
      <c r="B25" s="52" t="s">
        <v>181</v>
      </c>
      <c r="C25" s="7"/>
      <c r="D25" s="44"/>
      <c r="E25" s="7"/>
      <c r="F25" s="8"/>
      <c r="G25" s="7"/>
      <c r="H25" s="61"/>
      <c r="I25" s="7"/>
      <c r="J25" s="324">
        <f>SUM(J29:J36)</f>
        <v>57.515200000000007</v>
      </c>
    </row>
    <row r="26" spans="1:33" s="50" customFormat="1" x14ac:dyDescent="0.2">
      <c r="A26" s="68"/>
      <c r="B26" s="315" t="s">
        <v>346</v>
      </c>
      <c r="C26" s="69"/>
      <c r="D26" s="75"/>
      <c r="E26" s="69"/>
      <c r="F26" s="70"/>
      <c r="G26" s="69"/>
      <c r="H26" s="316"/>
      <c r="I26" s="69"/>
      <c r="J26" s="319"/>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15" t="s">
        <v>347</v>
      </c>
      <c r="C27" s="69"/>
      <c r="D27" s="75"/>
      <c r="E27" s="69"/>
      <c r="F27" s="70"/>
      <c r="G27" s="69"/>
      <c r="H27" s="316"/>
      <c r="I27" s="69"/>
      <c r="J27" s="319"/>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15" t="s">
        <v>348</v>
      </c>
      <c r="C28" s="69"/>
      <c r="D28" s="75"/>
      <c r="E28" s="69"/>
      <c r="F28" s="70"/>
      <c r="G28" s="69"/>
      <c r="H28" s="316"/>
      <c r="I28" s="69"/>
      <c r="J28" s="319"/>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c r="C29" s="7"/>
      <c r="D29" s="402"/>
      <c r="E29" s="7"/>
      <c r="F29" s="19"/>
      <c r="G29" s="7"/>
      <c r="H29" s="356"/>
      <c r="I29" s="7"/>
      <c r="J29" s="20"/>
    </row>
    <row r="30" spans="1:33" x14ac:dyDescent="0.2">
      <c r="A30" s="40"/>
      <c r="B30" s="18" t="s">
        <v>402</v>
      </c>
      <c r="C30" s="7"/>
      <c r="D30" s="402">
        <v>24</v>
      </c>
      <c r="E30" s="7"/>
      <c r="F30" s="19" t="s">
        <v>191</v>
      </c>
      <c r="G30" s="7"/>
      <c r="H30" s="356">
        <f>Basagran</f>
        <v>0.56999999999999995</v>
      </c>
      <c r="I30" s="7"/>
      <c r="J30" s="20">
        <f t="shared" ref="J30:J36" si="0">D30*H30</f>
        <v>13.68</v>
      </c>
    </row>
    <row r="31" spans="1:33" x14ac:dyDescent="0.2">
      <c r="A31" s="40"/>
      <c r="B31" s="18" t="s">
        <v>1</v>
      </c>
      <c r="C31" s="7"/>
      <c r="D31" s="402">
        <v>6.4</v>
      </c>
      <c r="E31" s="7"/>
      <c r="F31" s="19" t="s">
        <v>191</v>
      </c>
      <c r="G31" s="7"/>
      <c r="H31" s="356">
        <f>COC</f>
        <v>1.88</v>
      </c>
      <c r="I31" s="7"/>
      <c r="J31" s="20">
        <f t="shared" si="0"/>
        <v>12.032</v>
      </c>
    </row>
    <row r="32" spans="1:33" x14ac:dyDescent="0.2">
      <c r="A32" s="40"/>
      <c r="B32" s="55" t="s">
        <v>465</v>
      </c>
      <c r="C32" s="7"/>
      <c r="D32" s="402">
        <v>1</v>
      </c>
      <c r="E32" s="7"/>
      <c r="F32" s="19" t="s">
        <v>191</v>
      </c>
      <c r="G32" s="7"/>
      <c r="H32" s="356">
        <v>0.23319999999999999</v>
      </c>
      <c r="I32" s="7"/>
      <c r="J32" s="20">
        <f t="shared" si="0"/>
        <v>0.23319999999999999</v>
      </c>
    </row>
    <row r="33" spans="1:10" x14ac:dyDescent="0.2">
      <c r="A33" s="40"/>
      <c r="B33" s="55" t="s">
        <v>476</v>
      </c>
      <c r="C33" s="7"/>
      <c r="D33" s="402">
        <v>14</v>
      </c>
      <c r="E33" s="7"/>
      <c r="F33" s="19" t="s">
        <v>191</v>
      </c>
      <c r="G33" s="7"/>
      <c r="H33" s="356">
        <f>AssureII</f>
        <v>0.86</v>
      </c>
      <c r="I33" s="7"/>
      <c r="J33" s="20">
        <f t="shared" si="0"/>
        <v>12.04</v>
      </c>
    </row>
    <row r="34" spans="1:10" x14ac:dyDescent="0.2">
      <c r="A34" s="40"/>
      <c r="B34" s="18" t="s">
        <v>276</v>
      </c>
      <c r="C34" s="7"/>
      <c r="D34" s="402">
        <v>12</v>
      </c>
      <c r="E34" s="7"/>
      <c r="F34" s="19" t="s">
        <v>191</v>
      </c>
      <c r="G34" s="7"/>
      <c r="H34" s="356">
        <f>Glyphosphate</f>
        <v>0.18</v>
      </c>
      <c r="I34" s="7"/>
      <c r="J34" s="20">
        <f t="shared" si="0"/>
        <v>2.16</v>
      </c>
    </row>
    <row r="35" spans="1:10" x14ac:dyDescent="0.2">
      <c r="A35" s="40"/>
      <c r="B35" s="18" t="s">
        <v>500</v>
      </c>
      <c r="C35" s="7"/>
      <c r="D35" s="402">
        <v>2.8</v>
      </c>
      <c r="E35" s="7"/>
      <c r="F35" s="19" t="s">
        <v>191</v>
      </c>
      <c r="G35" s="7"/>
      <c r="H35" s="356">
        <f>MT</f>
        <v>0.7</v>
      </c>
      <c r="I35" s="7"/>
      <c r="J35" s="20">
        <f t="shared" si="0"/>
        <v>1.9599999999999997</v>
      </c>
    </row>
    <row r="36" spans="1:10" x14ac:dyDescent="0.2">
      <c r="A36" s="40"/>
      <c r="B36" s="18" t="s">
        <v>64</v>
      </c>
      <c r="C36" s="7"/>
      <c r="D36" s="361">
        <v>1</v>
      </c>
      <c r="E36" s="7"/>
      <c r="F36" s="19" t="s">
        <v>189</v>
      </c>
      <c r="G36" s="7"/>
      <c r="H36" s="356">
        <f>Imidan</f>
        <v>15.41</v>
      </c>
      <c r="I36" s="7"/>
      <c r="J36" s="20">
        <f t="shared" si="0"/>
        <v>15.41</v>
      </c>
    </row>
    <row r="37" spans="1:10" ht="5.25" customHeight="1" x14ac:dyDescent="0.2">
      <c r="A37" s="40"/>
      <c r="B37" s="7"/>
      <c r="C37" s="7"/>
      <c r="D37" s="59"/>
      <c r="E37" s="7"/>
      <c r="F37" s="8"/>
      <c r="G37" s="7"/>
      <c r="H37" s="61"/>
      <c r="I37" s="7"/>
      <c r="J37" s="20"/>
    </row>
    <row r="38" spans="1:10" x14ac:dyDescent="0.2">
      <c r="A38" s="40"/>
      <c r="B38" s="52" t="s">
        <v>50</v>
      </c>
      <c r="C38" s="7"/>
      <c r="D38" s="73"/>
      <c r="E38" s="7"/>
      <c r="F38" s="8"/>
      <c r="G38" s="7"/>
      <c r="H38" s="61"/>
      <c r="I38" s="7"/>
      <c r="J38" s="324">
        <f>SUM(J39:J43)</f>
        <v>58.017400859333222</v>
      </c>
    </row>
    <row r="39" spans="1:10" x14ac:dyDescent="0.2">
      <c r="A39" s="40"/>
      <c r="B39" s="33" t="s">
        <v>284</v>
      </c>
      <c r="C39" s="7"/>
      <c r="D39" s="353">
        <f>'Machinery Costs'!$M$196</f>
        <v>11.595915492957745</v>
      </c>
      <c r="E39" s="7"/>
      <c r="F39" s="19" t="s">
        <v>286</v>
      </c>
      <c r="G39" s="7"/>
      <c r="H39" s="356">
        <f>Diesel</f>
        <v>2</v>
      </c>
      <c r="I39" s="7"/>
      <c r="J39" s="20">
        <f>D39*H39</f>
        <v>23.191830985915491</v>
      </c>
    </row>
    <row r="40" spans="1:10" x14ac:dyDescent="0.2">
      <c r="A40" s="40"/>
      <c r="B40" s="33" t="s">
        <v>285</v>
      </c>
      <c r="C40" s="7"/>
      <c r="D40" s="43">
        <v>1</v>
      </c>
      <c r="E40" s="7"/>
      <c r="F40" s="19" t="s">
        <v>190</v>
      </c>
      <c r="G40" s="7"/>
      <c r="H40" s="354">
        <f>'Machinery Costs'!$I$196</f>
        <v>3.581</v>
      </c>
      <c r="I40" s="7"/>
      <c r="J40" s="20">
        <f>D40*H40</f>
        <v>3.581</v>
      </c>
    </row>
    <row r="41" spans="1:10" x14ac:dyDescent="0.2">
      <c r="A41" s="40"/>
      <c r="B41" s="33" t="s">
        <v>91</v>
      </c>
      <c r="C41" s="7"/>
      <c r="D41" s="43">
        <v>1</v>
      </c>
      <c r="E41" s="7"/>
      <c r="F41" s="19" t="s">
        <v>190</v>
      </c>
      <c r="G41" s="7"/>
      <c r="H41" s="354">
        <f>'Machinery Costs'!$G$196</f>
        <v>9.8379999999999992</v>
      </c>
      <c r="I41" s="7"/>
      <c r="J41" s="20">
        <f>D41*H41</f>
        <v>9.8379999999999992</v>
      </c>
    </row>
    <row r="42" spans="1:10" x14ac:dyDescent="0.2">
      <c r="A42" s="40"/>
      <c r="B42" s="33" t="s">
        <v>173</v>
      </c>
      <c r="C42" s="7"/>
      <c r="D42" s="353">
        <f>'Machinery Costs'!$L$196</f>
        <v>1.0703284936708863</v>
      </c>
      <c r="E42" s="7"/>
      <c r="F42" s="312" t="s">
        <v>184</v>
      </c>
      <c r="G42" s="7"/>
      <c r="H42" s="356">
        <f>Labor</f>
        <v>20</v>
      </c>
      <c r="I42" s="7"/>
      <c r="J42" s="20">
        <f>D42*H42</f>
        <v>21.406569873417727</v>
      </c>
    </row>
    <row r="43" spans="1:10" x14ac:dyDescent="0.2">
      <c r="A43" s="40"/>
      <c r="B43" s="33"/>
      <c r="C43" s="7"/>
      <c r="D43" s="80"/>
      <c r="E43" s="7"/>
      <c r="F43" s="19"/>
      <c r="G43" s="7"/>
      <c r="H43" s="79"/>
      <c r="I43" s="7"/>
      <c r="J43" s="20">
        <f>D43*H43</f>
        <v>0</v>
      </c>
    </row>
    <row r="44" spans="1:10" ht="5.25" customHeight="1" x14ac:dyDescent="0.2">
      <c r="A44" s="40"/>
      <c r="B44" s="7"/>
      <c r="C44" s="7"/>
      <c r="D44" s="44"/>
      <c r="E44" s="7"/>
      <c r="F44" s="8"/>
      <c r="G44" s="7"/>
      <c r="H44" s="61"/>
      <c r="I44" s="7"/>
      <c r="J44" s="20"/>
    </row>
    <row r="45" spans="1:10" x14ac:dyDescent="0.2">
      <c r="A45" s="40"/>
      <c r="B45" s="52" t="s">
        <v>152</v>
      </c>
      <c r="C45" s="7"/>
      <c r="D45" s="73"/>
      <c r="E45" s="7"/>
      <c r="F45" s="8"/>
      <c r="G45" s="7"/>
      <c r="H45" s="61"/>
      <c r="I45" s="7"/>
      <c r="J45" s="324">
        <f>SUM(J46:J47)</f>
        <v>25.4</v>
      </c>
    </row>
    <row r="46" spans="1:10" x14ac:dyDescent="0.2">
      <c r="A46" s="40"/>
      <c r="B46" s="18" t="s">
        <v>207</v>
      </c>
      <c r="C46" s="7"/>
      <c r="D46" s="361">
        <v>2</v>
      </c>
      <c r="E46" s="7"/>
      <c r="F46" s="19" t="s">
        <v>190</v>
      </c>
      <c r="G46" s="7"/>
      <c r="H46" s="356">
        <f>Aerial</f>
        <v>8.9499999999999993</v>
      </c>
      <c r="I46" s="7"/>
      <c r="J46" s="20">
        <f>D46*H46</f>
        <v>17.899999999999999</v>
      </c>
    </row>
    <row r="47" spans="1:10" x14ac:dyDescent="0.2">
      <c r="A47" s="40"/>
      <c r="B47" s="18" t="s">
        <v>496</v>
      </c>
      <c r="C47" s="7"/>
      <c r="D47" s="361">
        <v>1</v>
      </c>
      <c r="E47" s="7"/>
      <c r="F47" s="19" t="s">
        <v>190</v>
      </c>
      <c r="G47" s="7"/>
      <c r="H47" s="356">
        <v>7.5</v>
      </c>
      <c r="I47" s="7"/>
      <c r="J47" s="20">
        <f>D47*H47</f>
        <v>7.5</v>
      </c>
    </row>
    <row r="48" spans="1:10" ht="5.25" customHeight="1" x14ac:dyDescent="0.2">
      <c r="A48" s="40"/>
      <c r="B48" s="7"/>
      <c r="C48" s="7"/>
      <c r="D48" s="44"/>
      <c r="E48" s="7"/>
      <c r="F48" s="8"/>
      <c r="G48" s="7"/>
      <c r="H48" s="8"/>
      <c r="I48" s="7"/>
      <c r="J48" s="20"/>
    </row>
    <row r="49" spans="1:33" x14ac:dyDescent="0.2">
      <c r="A49" s="40"/>
      <c r="B49" s="52" t="s">
        <v>153</v>
      </c>
      <c r="C49" s="7"/>
      <c r="D49" s="44"/>
      <c r="E49" s="7"/>
      <c r="F49" s="8"/>
      <c r="G49" s="7"/>
      <c r="H49" s="8"/>
      <c r="I49" s="7"/>
      <c r="J49" s="324">
        <f>SUM(J50:J52)</f>
        <v>20</v>
      </c>
    </row>
    <row r="50" spans="1:33" x14ac:dyDescent="0.2">
      <c r="A50" s="40"/>
      <c r="B50" s="18" t="s">
        <v>192</v>
      </c>
      <c r="C50" s="7"/>
      <c r="D50" s="43">
        <v>1</v>
      </c>
      <c r="E50" s="7"/>
      <c r="F50" s="19" t="s">
        <v>190</v>
      </c>
      <c r="G50" s="7"/>
      <c r="H50" s="358">
        <v>20</v>
      </c>
      <c r="I50" s="7"/>
      <c r="J50" s="20">
        <f>D50*H50</f>
        <v>20</v>
      </c>
    </row>
    <row r="51" spans="1:33" x14ac:dyDescent="0.2">
      <c r="A51" s="40"/>
      <c r="B51" s="33" t="s">
        <v>172</v>
      </c>
      <c r="C51" s="7"/>
      <c r="D51" s="43"/>
      <c r="E51" s="7"/>
      <c r="F51" s="19"/>
      <c r="G51" s="7"/>
      <c r="H51" s="45"/>
      <c r="I51" s="7"/>
      <c r="J51" s="20">
        <f>D51*H51</f>
        <v>0</v>
      </c>
    </row>
    <row r="52" spans="1:33" x14ac:dyDescent="0.2">
      <c r="A52" s="400"/>
      <c r="B52" s="33" t="s">
        <v>240</v>
      </c>
      <c r="C52" s="7"/>
      <c r="D52" s="193"/>
      <c r="E52" s="7"/>
      <c r="F52" s="19"/>
      <c r="G52" s="7"/>
      <c r="H52" s="45"/>
      <c r="I52" s="7"/>
      <c r="J52" s="20"/>
      <c r="L52" s="400"/>
      <c r="M52" s="400"/>
      <c r="N52" s="400"/>
      <c r="O52" s="400"/>
      <c r="P52" s="400"/>
      <c r="Q52" s="400"/>
      <c r="R52" s="400"/>
      <c r="S52" s="400"/>
      <c r="T52" s="400"/>
      <c r="U52" s="400"/>
      <c r="V52" s="400"/>
      <c r="W52" s="400"/>
      <c r="X52" s="400"/>
      <c r="Y52" s="400"/>
      <c r="Z52" s="400"/>
      <c r="AA52" s="400"/>
      <c r="AB52" s="400"/>
      <c r="AC52" s="400"/>
      <c r="AD52" s="400"/>
      <c r="AE52" s="400"/>
      <c r="AF52" s="400"/>
      <c r="AG52" s="400"/>
    </row>
    <row r="53" spans="1:33" ht="5.0999999999999996" customHeight="1" x14ac:dyDescent="0.2">
      <c r="A53" s="40"/>
      <c r="B53" s="7"/>
      <c r="C53" s="7"/>
      <c r="D53" s="44"/>
      <c r="E53" s="7"/>
      <c r="F53" s="8"/>
      <c r="G53" s="7"/>
      <c r="H53" s="44"/>
      <c r="I53" s="7"/>
      <c r="J53" s="20"/>
    </row>
    <row r="54" spans="1:33" ht="14.25" x14ac:dyDescent="0.2">
      <c r="A54" s="40"/>
      <c r="B54" s="69" t="s">
        <v>329</v>
      </c>
      <c r="C54" s="7"/>
      <c r="D54" s="44"/>
      <c r="E54" s="7"/>
      <c r="F54" s="8"/>
      <c r="G54" s="7"/>
      <c r="H54" s="44"/>
      <c r="I54" s="7"/>
      <c r="J54" s="20">
        <f>+(J18+J21+J25+J38+J45+J49)*operloan*0.75</f>
        <v>8.5789684120587459</v>
      </c>
    </row>
    <row r="55" spans="1:33" ht="5.25" customHeight="1" x14ac:dyDescent="0.2">
      <c r="A55" s="40"/>
      <c r="B55" s="7"/>
      <c r="C55" s="7"/>
      <c r="D55" s="44"/>
      <c r="E55" s="7"/>
      <c r="F55" s="8"/>
      <c r="G55" s="7"/>
      <c r="H55" s="44"/>
      <c r="I55" s="7"/>
      <c r="J55" s="20"/>
    </row>
    <row r="56" spans="1:33" x14ac:dyDescent="0.2">
      <c r="A56" s="40"/>
      <c r="B56" s="52" t="s">
        <v>232</v>
      </c>
      <c r="C56" s="52"/>
      <c r="D56" s="65"/>
      <c r="E56" s="52"/>
      <c r="F56" s="53"/>
      <c r="G56" s="52"/>
      <c r="H56" s="65"/>
      <c r="I56" s="52"/>
      <c r="J56" s="54">
        <f>SUM(J18:J54)-(J18+J21+J25+J38+J45+J49)</f>
        <v>207.51156927139195</v>
      </c>
    </row>
    <row r="57" spans="1:33" x14ac:dyDescent="0.2">
      <c r="A57" s="40"/>
      <c r="B57" s="7" t="s">
        <v>233</v>
      </c>
      <c r="C57" s="7"/>
      <c r="D57" s="44"/>
      <c r="E57" s="7"/>
      <c r="F57" s="8"/>
      <c r="G57" s="7"/>
      <c r="H57" s="44"/>
      <c r="I57" s="7"/>
      <c r="J57" s="20">
        <f>J56/D14</f>
        <v>0.10375578463569597</v>
      </c>
    </row>
    <row r="58" spans="1:33" ht="5.25" customHeight="1" x14ac:dyDescent="0.2">
      <c r="A58" s="40"/>
      <c r="B58" s="7"/>
      <c r="C58" s="7"/>
      <c r="D58" s="44"/>
      <c r="E58" s="7"/>
      <c r="F58" s="8"/>
      <c r="G58" s="7"/>
      <c r="H58" s="44"/>
      <c r="I58" s="7"/>
      <c r="J58" s="20"/>
    </row>
    <row r="59" spans="1:33" s="47" customFormat="1" x14ac:dyDescent="0.2">
      <c r="A59" s="46"/>
      <c r="B59" s="62" t="s">
        <v>234</v>
      </c>
      <c r="C59" s="62"/>
      <c r="D59" s="63"/>
      <c r="E59" s="62"/>
      <c r="F59" s="64"/>
      <c r="G59" s="62"/>
      <c r="H59" s="63"/>
      <c r="I59" s="62"/>
      <c r="J59" s="96">
        <f>J14-J56</f>
        <v>292.48843072860802</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
      <c r="A60" s="40"/>
      <c r="B60" s="6" t="s">
        <v>325</v>
      </c>
      <c r="C60" s="7"/>
      <c r="D60" s="44"/>
      <c r="E60" s="7"/>
      <c r="F60" s="8"/>
      <c r="G60" s="7"/>
      <c r="H60" s="44"/>
      <c r="I60" s="7"/>
      <c r="J60" s="20"/>
    </row>
    <row r="61" spans="1:33" x14ac:dyDescent="0.2">
      <c r="A61" s="40"/>
      <c r="B61" s="417" t="s">
        <v>477</v>
      </c>
      <c r="C61" s="95"/>
      <c r="D61" s="59"/>
      <c r="E61" s="7"/>
      <c r="F61" s="19" t="s">
        <v>190</v>
      </c>
      <c r="G61" s="7"/>
      <c r="H61" s="353">
        <f>'Machinery Costs'!C196</f>
        <v>18.000000000000007</v>
      </c>
      <c r="I61" s="7"/>
      <c r="J61" s="20">
        <f>H61</f>
        <v>18.000000000000007</v>
      </c>
      <c r="L61" s="42"/>
    </row>
    <row r="62" spans="1:33" x14ac:dyDescent="0.2">
      <c r="A62" s="40"/>
      <c r="B62" s="417" t="s">
        <v>478</v>
      </c>
      <c r="C62" s="95"/>
      <c r="D62" s="59"/>
      <c r="E62" s="7"/>
      <c r="F62" s="19" t="s">
        <v>190</v>
      </c>
      <c r="G62" s="7"/>
      <c r="H62" s="353">
        <f>'Machinery Costs'!D196</f>
        <v>13.601000000000003</v>
      </c>
      <c r="I62" s="7"/>
      <c r="J62" s="20">
        <f>H62</f>
        <v>13.601000000000003</v>
      </c>
      <c r="L62" s="42"/>
    </row>
    <row r="63" spans="1:33" x14ac:dyDescent="0.2">
      <c r="A63" s="40"/>
      <c r="B63" s="417" t="s">
        <v>479</v>
      </c>
      <c r="C63" s="95"/>
      <c r="D63" s="59"/>
      <c r="E63" s="7"/>
      <c r="F63" s="19" t="s">
        <v>190</v>
      </c>
      <c r="G63" s="7"/>
      <c r="H63" s="353">
        <f>'Machinery Costs'!E196</f>
        <v>5.1929999999999978</v>
      </c>
      <c r="I63" s="7"/>
      <c r="J63" s="20">
        <f>H63</f>
        <v>5.1929999999999978</v>
      </c>
      <c r="L63" s="42"/>
    </row>
    <row r="64" spans="1:33" x14ac:dyDescent="0.2">
      <c r="A64" s="40"/>
      <c r="B64" s="417" t="s">
        <v>422</v>
      </c>
      <c r="C64" s="95"/>
      <c r="D64" s="59"/>
      <c r="E64" s="7"/>
      <c r="F64" s="19" t="s">
        <v>190</v>
      </c>
      <c r="G64" s="7"/>
      <c r="H64" s="458">
        <v>46.36</v>
      </c>
      <c r="I64" s="7"/>
      <c r="J64" s="20">
        <f>H64</f>
        <v>46.36</v>
      </c>
      <c r="L64" s="42"/>
    </row>
    <row r="65" spans="1:33" x14ac:dyDescent="0.2">
      <c r="A65" s="40"/>
      <c r="B65" s="18" t="s">
        <v>266</v>
      </c>
      <c r="C65" s="7"/>
      <c r="D65" s="7"/>
      <c r="E65" s="7"/>
      <c r="F65" s="19" t="s">
        <v>190</v>
      </c>
      <c r="G65" s="7"/>
      <c r="H65" s="79">
        <f>ROUND((D14*H14)*D67-(J21+J25+H50)*D67, 0)</f>
        <v>106</v>
      </c>
      <c r="I65" s="7"/>
      <c r="J65" s="20">
        <f>+H65</f>
        <v>106</v>
      </c>
    </row>
    <row r="66" spans="1:33" ht="12.75" customHeight="1" x14ac:dyDescent="0.2">
      <c r="A66" s="40"/>
      <c r="B66" s="7" t="s">
        <v>267</v>
      </c>
      <c r="C66" s="7"/>
      <c r="D66" s="44"/>
      <c r="E66" s="7"/>
      <c r="F66" s="8"/>
      <c r="G66" s="7"/>
      <c r="H66" s="93"/>
      <c r="I66" s="7"/>
      <c r="J66" s="20"/>
    </row>
    <row r="67" spans="1:33" ht="12.75" customHeight="1" x14ac:dyDescent="0.2">
      <c r="A67" s="40"/>
      <c r="B67" s="7" t="s">
        <v>268</v>
      </c>
      <c r="C67" s="7"/>
      <c r="D67" s="372">
        <v>0.25</v>
      </c>
      <c r="E67" s="7"/>
      <c r="F67" s="8"/>
      <c r="G67" s="7"/>
      <c r="H67" s="61"/>
      <c r="I67" s="7"/>
      <c r="J67" s="20"/>
    </row>
    <row r="68" spans="1:33" ht="12.75" customHeight="1" x14ac:dyDescent="0.2">
      <c r="A68" s="40"/>
      <c r="B68" s="7" t="s">
        <v>269</v>
      </c>
      <c r="C68" s="7"/>
      <c r="D68" s="372">
        <v>0.75</v>
      </c>
      <c r="E68" s="7"/>
      <c r="F68" s="8"/>
      <c r="G68" s="7"/>
      <c r="H68" s="61"/>
      <c r="I68" s="7"/>
      <c r="J68" s="20"/>
    </row>
    <row r="69" spans="1:33" x14ac:dyDescent="0.2">
      <c r="A69" s="40"/>
      <c r="B69" s="51"/>
      <c r="C69" s="51"/>
      <c r="D69" s="74"/>
      <c r="E69" s="51"/>
      <c r="F69" s="74"/>
      <c r="G69" s="7"/>
      <c r="H69" s="44"/>
      <c r="I69" s="7"/>
      <c r="J69" s="20"/>
    </row>
    <row r="70" spans="1:33" ht="14.25" x14ac:dyDescent="0.2">
      <c r="A70" s="40"/>
      <c r="B70" s="147" t="s">
        <v>61</v>
      </c>
      <c r="C70" s="7"/>
      <c r="D70" s="44"/>
      <c r="E70" s="7"/>
      <c r="F70" s="8"/>
      <c r="G70" s="7"/>
      <c r="H70" s="44"/>
      <c r="I70" s="7"/>
      <c r="J70" s="20">
        <f>ROUND(($J$18+$J$21+$J$25+$J$38+$J$45+$J$49)*oh, 0)</f>
        <v>5</v>
      </c>
    </row>
    <row r="71" spans="1:33" ht="14.25" x14ac:dyDescent="0.2">
      <c r="A71" s="400"/>
      <c r="B71" s="147" t="s">
        <v>330</v>
      </c>
      <c r="C71" s="94"/>
      <c r="D71" s="59"/>
      <c r="E71" s="7"/>
      <c r="F71" s="8"/>
      <c r="G71" s="7"/>
      <c r="H71" s="44"/>
      <c r="I71" s="7"/>
      <c r="J71" s="20">
        <f>ROUND(($J$14)*MF, 0)</f>
        <v>25</v>
      </c>
      <c r="K71" s="400"/>
      <c r="L71" s="400"/>
      <c r="M71" s="400"/>
      <c r="N71" s="400"/>
      <c r="O71" s="400"/>
      <c r="P71" s="400"/>
      <c r="Q71" s="400"/>
      <c r="R71" s="400"/>
      <c r="S71" s="400"/>
      <c r="T71" s="400"/>
      <c r="U71" s="400"/>
      <c r="V71" s="400"/>
      <c r="W71" s="400"/>
      <c r="X71" s="400"/>
      <c r="Y71" s="400"/>
      <c r="Z71" s="400"/>
      <c r="AA71" s="400"/>
      <c r="AB71" s="400"/>
      <c r="AC71" s="400"/>
      <c r="AD71" s="400"/>
      <c r="AE71" s="400"/>
      <c r="AF71" s="400"/>
      <c r="AG71"/>
    </row>
    <row r="72" spans="1:33" ht="5.25" customHeight="1" x14ac:dyDescent="0.2">
      <c r="A72" s="40"/>
      <c r="B72" s="7"/>
      <c r="C72" s="7"/>
      <c r="D72" s="44"/>
      <c r="E72" s="7"/>
      <c r="F72" s="8"/>
      <c r="G72" s="7"/>
      <c r="H72" s="44"/>
      <c r="I72" s="7"/>
      <c r="J72" s="20"/>
    </row>
    <row r="73" spans="1:33" x14ac:dyDescent="0.2">
      <c r="A73" s="40"/>
      <c r="B73" s="52" t="s">
        <v>230</v>
      </c>
      <c r="C73" s="52"/>
      <c r="D73" s="65"/>
      <c r="E73" s="52"/>
      <c r="F73" s="53"/>
      <c r="G73" s="52"/>
      <c r="H73" s="65"/>
      <c r="I73" s="52"/>
      <c r="J73" s="54">
        <f>SUM(J60:J71)</f>
        <v>219.154</v>
      </c>
    </row>
    <row r="74" spans="1:33" x14ac:dyDescent="0.2">
      <c r="A74" s="40"/>
      <c r="B74" s="7" t="s">
        <v>231</v>
      </c>
      <c r="C74" s="7"/>
      <c r="D74" s="44"/>
      <c r="E74" s="7"/>
      <c r="F74" s="8"/>
      <c r="G74" s="7"/>
      <c r="H74" s="44"/>
      <c r="I74" s="7"/>
      <c r="J74" s="20">
        <f>J73/D14</f>
        <v>0.10957699999999999</v>
      </c>
    </row>
    <row r="75" spans="1:33" x14ac:dyDescent="0.2">
      <c r="A75" s="40"/>
      <c r="B75" s="7"/>
      <c r="C75" s="7"/>
      <c r="D75" s="44"/>
      <c r="E75" s="7"/>
      <c r="F75" s="8"/>
      <c r="G75" s="7"/>
      <c r="H75" s="44"/>
      <c r="I75" s="7"/>
      <c r="J75" s="20"/>
    </row>
    <row r="76" spans="1:33" x14ac:dyDescent="0.2">
      <c r="A76" s="40"/>
      <c r="B76" s="52" t="s">
        <v>94</v>
      </c>
      <c r="C76" s="52"/>
      <c r="D76" s="65"/>
      <c r="E76" s="52"/>
      <c r="F76" s="53"/>
      <c r="G76" s="52"/>
      <c r="H76" s="65"/>
      <c r="I76" s="52"/>
      <c r="J76" s="54">
        <f>J56+J73</f>
        <v>426.66556927139197</v>
      </c>
    </row>
    <row r="77" spans="1:33" s="50" customFormat="1" x14ac:dyDescent="0.2">
      <c r="A77" s="68"/>
      <c r="B77" s="69" t="s">
        <v>95</v>
      </c>
      <c r="C77" s="69"/>
      <c r="D77" s="75"/>
      <c r="E77" s="69"/>
      <c r="F77" s="70"/>
      <c r="G77" s="69"/>
      <c r="H77" s="75"/>
      <c r="I77" s="69"/>
      <c r="J77" s="20">
        <f>J76/D14</f>
        <v>0.21333278463569599</v>
      </c>
      <c r="L77" s="68"/>
      <c r="M77" s="68"/>
      <c r="N77" s="68"/>
      <c r="O77" s="68"/>
      <c r="P77" s="68"/>
      <c r="Q77" s="68"/>
      <c r="R77" s="68"/>
      <c r="S77" s="68"/>
      <c r="T77" s="68"/>
      <c r="U77" s="68"/>
      <c r="V77" s="68"/>
      <c r="W77" s="68"/>
      <c r="X77" s="68"/>
      <c r="Y77" s="68"/>
      <c r="Z77" s="68"/>
      <c r="AA77" s="68"/>
      <c r="AB77" s="68"/>
      <c r="AC77" s="68"/>
      <c r="AD77" s="68"/>
      <c r="AE77" s="68"/>
      <c r="AF77" s="68"/>
      <c r="AG77" s="68"/>
    </row>
    <row r="78" spans="1:33" x14ac:dyDescent="0.2">
      <c r="A78" s="40"/>
      <c r="B78" s="7"/>
      <c r="C78" s="7"/>
      <c r="D78" s="44"/>
      <c r="E78" s="7"/>
      <c r="F78" s="8"/>
      <c r="G78" s="7"/>
      <c r="H78" s="44"/>
      <c r="I78" s="7"/>
      <c r="J78" s="20"/>
    </row>
    <row r="79" spans="1:33" s="47" customFormat="1" x14ac:dyDescent="0.2">
      <c r="A79" s="46"/>
      <c r="B79" s="52" t="s">
        <v>96</v>
      </c>
      <c r="C79" s="52"/>
      <c r="D79" s="65"/>
      <c r="E79" s="52"/>
      <c r="F79" s="53"/>
      <c r="G79" s="52"/>
      <c r="H79" s="65"/>
      <c r="I79" s="52"/>
      <c r="J79" s="54">
        <f>J14-J76</f>
        <v>73.334430728608027</v>
      </c>
      <c r="L79" s="46"/>
      <c r="M79" s="46"/>
      <c r="N79" s="46"/>
      <c r="O79" s="46"/>
      <c r="P79" s="46"/>
      <c r="Q79" s="46"/>
      <c r="R79" s="46"/>
      <c r="S79" s="46"/>
      <c r="T79" s="46"/>
      <c r="U79" s="46"/>
      <c r="V79" s="46"/>
      <c r="W79" s="46"/>
      <c r="X79" s="46"/>
      <c r="Y79" s="46"/>
      <c r="Z79" s="46"/>
      <c r="AA79" s="46"/>
      <c r="AB79" s="46"/>
      <c r="AC79" s="46"/>
      <c r="AD79" s="46"/>
      <c r="AE79" s="46"/>
      <c r="AF79" s="46"/>
      <c r="AG79" s="46"/>
    </row>
    <row r="80" spans="1:33" x14ac:dyDescent="0.2">
      <c r="A80" s="40"/>
      <c r="B80" s="3"/>
      <c r="C80" s="3"/>
      <c r="D80" s="2"/>
      <c r="E80" s="3"/>
      <c r="F80" s="4"/>
      <c r="G80" s="3"/>
      <c r="H80" s="2"/>
      <c r="I80" s="3"/>
      <c r="J80" s="5"/>
      <c r="K80" s="1"/>
    </row>
    <row r="81" spans="1:11" x14ac:dyDescent="0.2">
      <c r="A81" s="40"/>
      <c r="B81" s="56" t="s">
        <v>97</v>
      </c>
      <c r="C81" s="56"/>
      <c r="D81" s="76"/>
      <c r="E81" s="56"/>
      <c r="F81" s="57"/>
      <c r="G81" s="56"/>
      <c r="H81" s="76"/>
      <c r="I81" s="56"/>
      <c r="J81" s="56"/>
      <c r="K81" s="14"/>
    </row>
    <row r="82" spans="1:11" s="457" customFormat="1" ht="15.6" customHeight="1" x14ac:dyDescent="0.2">
      <c r="B82" s="563" t="s">
        <v>468</v>
      </c>
      <c r="C82" s="563"/>
      <c r="D82" s="563"/>
      <c r="E82" s="563"/>
      <c r="F82" s="563"/>
      <c r="G82" s="563"/>
      <c r="H82" s="563"/>
      <c r="I82" s="563"/>
      <c r="J82" s="563"/>
    </row>
    <row r="83" spans="1:11" s="400" customFormat="1" ht="16.5" customHeight="1" x14ac:dyDescent="0.2">
      <c r="B83" s="563" t="s">
        <v>338</v>
      </c>
      <c r="C83" s="563"/>
      <c r="D83" s="563"/>
      <c r="E83" s="563"/>
      <c r="F83" s="563"/>
      <c r="G83" s="563"/>
      <c r="H83" s="563"/>
      <c r="I83" s="563"/>
      <c r="J83" s="563"/>
    </row>
    <row r="84" spans="1:11" s="400" customFormat="1" ht="30" customHeight="1" x14ac:dyDescent="0.2">
      <c r="B84" s="568" t="s">
        <v>339</v>
      </c>
      <c r="C84" s="569"/>
      <c r="D84" s="569"/>
      <c r="E84" s="569"/>
      <c r="F84" s="569"/>
      <c r="G84" s="569"/>
      <c r="H84" s="569"/>
      <c r="I84" s="569"/>
      <c r="J84" s="569"/>
    </row>
    <row r="85" spans="1:11" x14ac:dyDescent="0.2">
      <c r="A85" s="40"/>
      <c r="B85" s="7"/>
      <c r="C85" s="7"/>
      <c r="D85" s="44"/>
      <c r="E85" s="7"/>
      <c r="F85" s="8"/>
      <c r="G85" s="7"/>
      <c r="H85" s="44"/>
      <c r="I85" s="7"/>
      <c r="J85" s="7"/>
    </row>
    <row r="86" spans="1:11" x14ac:dyDescent="0.2">
      <c r="A86" s="40"/>
      <c r="B86" s="22" t="s">
        <v>98</v>
      </c>
      <c r="C86" s="7"/>
      <c r="D86" s="23" t="s">
        <v>99</v>
      </c>
      <c r="E86" s="7"/>
      <c r="F86" s="8"/>
      <c r="G86" s="7"/>
      <c r="H86" s="23" t="s">
        <v>101</v>
      </c>
      <c r="I86" s="7"/>
      <c r="J86" s="7"/>
    </row>
    <row r="87" spans="1:11" x14ac:dyDescent="0.2">
      <c r="A87" s="40"/>
      <c r="B87" s="7"/>
      <c r="C87" s="7"/>
      <c r="D87" s="24">
        <v>0.1</v>
      </c>
      <c r="E87" s="7"/>
      <c r="F87" s="8" t="s">
        <v>100</v>
      </c>
      <c r="G87" s="7"/>
      <c r="H87" s="24">
        <v>0.1</v>
      </c>
      <c r="I87" s="7"/>
      <c r="J87" s="7"/>
    </row>
    <row r="88" spans="1:11" x14ac:dyDescent="0.2">
      <c r="A88" s="40"/>
      <c r="B88" s="7"/>
      <c r="C88" s="7"/>
      <c r="D88" s="25"/>
      <c r="E88" s="3"/>
      <c r="F88" s="2" t="s">
        <v>102</v>
      </c>
      <c r="G88" s="3"/>
      <c r="H88" s="25"/>
      <c r="I88" s="7"/>
      <c r="J88" s="7"/>
    </row>
    <row r="89" spans="1:11" x14ac:dyDescent="0.2">
      <c r="A89" s="40"/>
      <c r="B89" s="26" t="s">
        <v>169</v>
      </c>
      <c r="C89" s="7"/>
      <c r="D89" s="151">
        <f>F89*(1-D87)</f>
        <v>1800</v>
      </c>
      <c r="E89" s="27"/>
      <c r="F89" s="28">
        <f>D14</f>
        <v>2000</v>
      </c>
      <c r="G89" s="27"/>
      <c r="H89" s="78">
        <f>F89*(1+H87)</f>
        <v>2200</v>
      </c>
      <c r="I89" s="7"/>
      <c r="J89" s="7"/>
    </row>
    <row r="90" spans="1:11" ht="4.5" customHeight="1" x14ac:dyDescent="0.2">
      <c r="A90" s="40"/>
      <c r="B90" s="7"/>
      <c r="C90" s="7"/>
      <c r="D90" s="44"/>
      <c r="E90" s="7"/>
      <c r="F90" s="8"/>
      <c r="G90" s="7"/>
      <c r="H90" s="44"/>
      <c r="I90" s="7"/>
      <c r="J90" s="7"/>
    </row>
    <row r="91" spans="1:11" x14ac:dyDescent="0.2">
      <c r="A91" s="40"/>
      <c r="B91" s="7" t="s">
        <v>170</v>
      </c>
      <c r="C91" s="7"/>
      <c r="D91" s="29">
        <f>$J$56/D89</f>
        <v>0.11528420515077331</v>
      </c>
      <c r="E91" s="7"/>
      <c r="F91" s="29">
        <f>$J$56/F89</f>
        <v>0.10375578463569597</v>
      </c>
      <c r="G91" s="7"/>
      <c r="H91" s="29">
        <f>$J$56/H89</f>
        <v>9.4323440577905426E-2</v>
      </c>
      <c r="I91" s="7"/>
      <c r="J91" s="7"/>
    </row>
    <row r="92" spans="1:11" ht="4.5" customHeight="1" x14ac:dyDescent="0.2">
      <c r="A92" s="40"/>
      <c r="B92" s="7"/>
      <c r="C92" s="7"/>
      <c r="D92" s="44"/>
      <c r="E92" s="7"/>
      <c r="F92" s="8"/>
      <c r="G92" s="7"/>
      <c r="H92" s="44"/>
      <c r="I92" s="7"/>
      <c r="J92" s="7"/>
    </row>
    <row r="93" spans="1:11" x14ac:dyDescent="0.2">
      <c r="A93" s="40"/>
      <c r="B93" s="7" t="s">
        <v>171</v>
      </c>
      <c r="C93" s="7"/>
      <c r="D93" s="29">
        <f>$J$73/D89</f>
        <v>0.12175222222222222</v>
      </c>
      <c r="E93" s="7"/>
      <c r="F93" s="29">
        <f>$J$73/F89</f>
        <v>0.10957699999999999</v>
      </c>
      <c r="G93" s="7"/>
      <c r="H93" s="29">
        <f>$J$73/H89</f>
        <v>9.9615454545454549E-2</v>
      </c>
      <c r="I93" s="7"/>
      <c r="J93" s="7"/>
    </row>
    <row r="94" spans="1:11" ht="3.75" customHeight="1" x14ac:dyDescent="0.2">
      <c r="A94" s="40"/>
      <c r="B94" s="7"/>
      <c r="C94" s="7"/>
      <c r="D94" s="44"/>
      <c r="E94" s="7"/>
      <c r="F94" s="8"/>
      <c r="G94" s="7"/>
      <c r="H94" s="44"/>
      <c r="I94" s="7"/>
      <c r="J94" s="7"/>
    </row>
    <row r="95" spans="1:11" x14ac:dyDescent="0.2">
      <c r="A95" s="40"/>
      <c r="B95" s="7" t="s">
        <v>188</v>
      </c>
      <c r="C95" s="7"/>
      <c r="D95" s="29">
        <f>$J$76/D89</f>
        <v>0.23703642737299555</v>
      </c>
      <c r="E95" s="7"/>
      <c r="F95" s="29">
        <f>$J$76/F89</f>
        <v>0.21333278463569599</v>
      </c>
      <c r="G95" s="7"/>
      <c r="H95" s="29">
        <f>$J$76/H89</f>
        <v>0.19393889512335999</v>
      </c>
      <c r="I95" s="7"/>
      <c r="J95" s="7"/>
    </row>
    <row r="96" spans="1:11" ht="5.25" customHeight="1" x14ac:dyDescent="0.2">
      <c r="A96" s="40"/>
      <c r="B96" s="11"/>
      <c r="C96" s="11"/>
      <c r="D96" s="72"/>
      <c r="E96" s="11"/>
      <c r="F96" s="15"/>
      <c r="G96" s="11"/>
      <c r="H96" s="72"/>
      <c r="I96" s="11"/>
      <c r="J96" s="11"/>
    </row>
    <row r="97" spans="1:10" ht="12.75" customHeight="1" x14ac:dyDescent="0.2">
      <c r="A97" s="40"/>
      <c r="B97" s="11"/>
      <c r="C97" s="11"/>
      <c r="D97" s="23" t="s">
        <v>99</v>
      </c>
      <c r="E97" s="7"/>
      <c r="F97" s="8"/>
      <c r="G97" s="7"/>
      <c r="H97" s="23" t="s">
        <v>101</v>
      </c>
      <c r="I97" s="11"/>
      <c r="J97" s="11"/>
    </row>
    <row r="98" spans="1:10" x14ac:dyDescent="0.2">
      <c r="A98" s="40"/>
      <c r="B98" s="7"/>
      <c r="C98" s="7"/>
      <c r="D98" s="24">
        <v>0.1</v>
      </c>
      <c r="E98" s="7"/>
      <c r="F98" s="8" t="s">
        <v>100</v>
      </c>
      <c r="G98" s="7"/>
      <c r="H98" s="24">
        <v>0.1</v>
      </c>
      <c r="I98" s="7"/>
      <c r="J98" s="7"/>
    </row>
    <row r="99" spans="1:10" x14ac:dyDescent="0.2">
      <c r="A99" s="40"/>
      <c r="B99" s="7"/>
      <c r="C99" s="7"/>
      <c r="D99" s="2"/>
      <c r="E99" s="3"/>
      <c r="F99" s="4" t="s">
        <v>169</v>
      </c>
      <c r="G99" s="3"/>
      <c r="H99" s="2"/>
      <c r="I99" s="7"/>
      <c r="J99" s="7"/>
    </row>
    <row r="100" spans="1:10" x14ac:dyDescent="0.2">
      <c r="A100" s="40"/>
      <c r="B100" s="26" t="s">
        <v>102</v>
      </c>
      <c r="C100" s="7"/>
      <c r="D100" s="30">
        <f>F100*(1-D87)</f>
        <v>0.22500000000000001</v>
      </c>
      <c r="E100" s="27"/>
      <c r="F100" s="31">
        <f>H14</f>
        <v>0.25</v>
      </c>
      <c r="G100" s="27"/>
      <c r="H100" s="30">
        <f>F100*(1+H87)</f>
        <v>0.27500000000000002</v>
      </c>
      <c r="I100" s="7"/>
      <c r="J100" s="7"/>
    </row>
    <row r="101" spans="1:10" ht="4.5" customHeight="1" x14ac:dyDescent="0.2">
      <c r="A101" s="40"/>
      <c r="B101" s="7"/>
      <c r="C101" s="7"/>
      <c r="D101" s="44"/>
      <c r="E101" s="7"/>
      <c r="F101" s="8"/>
      <c r="G101" s="7"/>
      <c r="H101" s="44"/>
      <c r="I101" s="7"/>
      <c r="J101" s="7"/>
    </row>
    <row r="102" spans="1:10" x14ac:dyDescent="0.2">
      <c r="A102" s="40"/>
      <c r="B102" s="7" t="s">
        <v>170</v>
      </c>
      <c r="C102" s="7"/>
      <c r="D102" s="32">
        <f>$J$56/D100</f>
        <v>922.27364120618643</v>
      </c>
      <c r="E102" s="7"/>
      <c r="F102" s="32">
        <f>$J$56/F100</f>
        <v>830.04627708556779</v>
      </c>
      <c r="G102" s="7"/>
      <c r="H102" s="32">
        <f>$J$56/H100</f>
        <v>754.58752462324344</v>
      </c>
      <c r="I102" s="7"/>
      <c r="J102" s="7"/>
    </row>
    <row r="103" spans="1:10" ht="3" customHeight="1" x14ac:dyDescent="0.2">
      <c r="A103" s="40"/>
      <c r="B103" s="7"/>
      <c r="C103" s="7"/>
      <c r="D103" s="44"/>
      <c r="E103" s="7"/>
      <c r="F103" s="8"/>
      <c r="G103" s="7"/>
      <c r="H103" s="44"/>
      <c r="I103" s="7"/>
      <c r="J103" s="7"/>
    </row>
    <row r="104" spans="1:10" x14ac:dyDescent="0.2">
      <c r="A104" s="40"/>
      <c r="B104" s="7" t="s">
        <v>171</v>
      </c>
      <c r="C104" s="7"/>
      <c r="D104" s="32">
        <f>$J$73/D100</f>
        <v>974.01777777777772</v>
      </c>
      <c r="E104" s="7"/>
      <c r="F104" s="32">
        <f>$J$73/F100</f>
        <v>876.61599999999999</v>
      </c>
      <c r="G104" s="7"/>
      <c r="H104" s="32">
        <f>$J$73/H100</f>
        <v>796.92363636363632</v>
      </c>
      <c r="I104" s="7"/>
      <c r="J104" s="7"/>
    </row>
    <row r="105" spans="1:10" ht="3.75" customHeight="1" x14ac:dyDescent="0.2">
      <c r="A105" s="40"/>
      <c r="B105" s="7"/>
      <c r="C105" s="7"/>
      <c r="D105" s="44"/>
      <c r="E105" s="7"/>
      <c r="F105" s="8"/>
      <c r="G105" s="7"/>
      <c r="H105" s="44"/>
      <c r="I105" s="7"/>
      <c r="J105" s="7"/>
    </row>
    <row r="106" spans="1:10" x14ac:dyDescent="0.2">
      <c r="A106" s="40"/>
      <c r="B106" s="7" t="s">
        <v>188</v>
      </c>
      <c r="C106" s="7"/>
      <c r="D106" s="32">
        <f>$J$76/D100</f>
        <v>1896.2914189839644</v>
      </c>
      <c r="E106" s="7"/>
      <c r="F106" s="32">
        <f>$J$76/F100</f>
        <v>1706.6622770855679</v>
      </c>
      <c r="G106" s="7"/>
      <c r="H106" s="32">
        <f>$J$76/H100</f>
        <v>1551.5111609868798</v>
      </c>
      <c r="I106" s="7"/>
      <c r="J106" s="7"/>
    </row>
    <row r="107" spans="1:10" ht="5.25" customHeight="1" x14ac:dyDescent="0.2">
      <c r="A107" s="40"/>
      <c r="B107" s="7"/>
      <c r="C107" s="7"/>
      <c r="D107" s="44"/>
      <c r="E107" s="7"/>
      <c r="F107" s="8"/>
      <c r="G107" s="7"/>
      <c r="H107" s="44"/>
      <c r="I107" s="7"/>
      <c r="J107" s="7"/>
    </row>
    <row r="108" spans="1:10" ht="7.5" customHeight="1" x14ac:dyDescent="0.2">
      <c r="A108" s="40"/>
      <c r="B108" s="3"/>
      <c r="C108" s="3"/>
      <c r="D108" s="2"/>
      <c r="E108" s="3"/>
      <c r="F108" s="4"/>
      <c r="G108" s="3"/>
      <c r="H108" s="2"/>
      <c r="I108" s="3"/>
      <c r="J108" s="3"/>
    </row>
    <row r="109" spans="1:10" s="40" customFormat="1" x14ac:dyDescent="0.2">
      <c r="D109" s="58"/>
      <c r="F109" s="41"/>
      <c r="H109" s="58"/>
    </row>
    <row r="110" spans="1:10" s="40" customFormat="1" x14ac:dyDescent="0.2">
      <c r="D110" s="58"/>
      <c r="F110" s="41"/>
      <c r="H110" s="58"/>
    </row>
    <row r="111" spans="1:10" s="40" customFormat="1" x14ac:dyDescent="0.2">
      <c r="D111" s="58"/>
      <c r="F111" s="41"/>
      <c r="H111" s="58"/>
    </row>
    <row r="112" spans="1: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sheetData>
  <mergeCells count="6">
    <mergeCell ref="B84:J84"/>
    <mergeCell ref="B3:J3"/>
    <mergeCell ref="B6:J6"/>
    <mergeCell ref="B8:J8"/>
    <mergeCell ref="B82:J82"/>
    <mergeCell ref="B83:J83"/>
  </mergeCells>
  <printOptions horizontalCentered="1"/>
  <pageMargins left="0.7" right="0.7" top="0.75" bottom="0.75" header="0.3" footer="0.3"/>
  <pageSetup fitToHeight="2" orientation="portrait" r:id="rId1"/>
  <rowBreaks count="1" manualBreakCount="1">
    <brk id="59" min="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zoomScaleNormal="100" workbookViewId="0">
      <selection activeCell="B3" sqref="B3"/>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71" t="s">
        <v>532</v>
      </c>
      <c r="C2" s="578"/>
      <c r="D2" s="578"/>
      <c r="E2" s="578"/>
      <c r="F2" s="40"/>
      <c r="G2" s="40"/>
      <c r="H2" s="40"/>
      <c r="I2" s="40"/>
    </row>
    <row r="3" spans="2:9" ht="6" customHeight="1" x14ac:dyDescent="0.25">
      <c r="B3" s="180"/>
      <c r="C3" s="175"/>
      <c r="D3" s="175"/>
      <c r="E3" s="175"/>
      <c r="F3" s="40"/>
      <c r="G3" s="40"/>
      <c r="H3" s="40"/>
      <c r="I3" s="40"/>
    </row>
    <row r="4" spans="2:9" ht="33" customHeight="1" x14ac:dyDescent="0.2">
      <c r="B4" s="183" t="s">
        <v>287</v>
      </c>
      <c r="C4" s="183" t="s">
        <v>289</v>
      </c>
      <c r="D4" s="183" t="s">
        <v>291</v>
      </c>
      <c r="E4" s="183" t="s">
        <v>292</v>
      </c>
      <c r="F4" s="40"/>
      <c r="G4" s="40"/>
      <c r="H4" s="40"/>
      <c r="I4" s="40"/>
    </row>
    <row r="5" spans="2:9" x14ac:dyDescent="0.2">
      <c r="B5" s="38"/>
      <c r="C5" s="38"/>
      <c r="D5" s="38"/>
      <c r="E5" s="38"/>
      <c r="F5" s="40"/>
      <c r="G5" s="40"/>
      <c r="H5" s="40"/>
      <c r="I5" s="40"/>
    </row>
    <row r="6" spans="2:9" x14ac:dyDescent="0.2">
      <c r="B6" s="5" t="s">
        <v>394</v>
      </c>
      <c r="C6" s="90" t="s">
        <v>246</v>
      </c>
      <c r="D6" s="90" t="s">
        <v>408</v>
      </c>
      <c r="E6" s="5"/>
      <c r="F6" s="40"/>
      <c r="G6" s="40"/>
      <c r="H6" s="40"/>
      <c r="I6" s="40"/>
    </row>
    <row r="7" spans="2:9" x14ac:dyDescent="0.2">
      <c r="B7" s="67"/>
      <c r="C7" s="67"/>
      <c r="D7" s="67" t="s">
        <v>53</v>
      </c>
      <c r="E7" s="67"/>
      <c r="F7" s="40"/>
      <c r="G7" s="40"/>
      <c r="H7" s="40"/>
      <c r="I7" s="40"/>
    </row>
    <row r="8" spans="2:9" x14ac:dyDescent="0.2">
      <c r="B8" s="67" t="s">
        <v>394</v>
      </c>
      <c r="C8" s="67" t="s">
        <v>260</v>
      </c>
      <c r="D8" s="67" t="s">
        <v>272</v>
      </c>
      <c r="E8" s="67"/>
      <c r="F8" s="40"/>
      <c r="G8" s="40"/>
      <c r="H8" s="40"/>
      <c r="I8" s="40"/>
    </row>
    <row r="9" spans="2:9" x14ac:dyDescent="0.2">
      <c r="B9" s="38"/>
      <c r="C9" s="38"/>
      <c r="D9" s="38" t="s">
        <v>53</v>
      </c>
      <c r="E9" s="38"/>
      <c r="F9" s="40"/>
      <c r="G9" s="40"/>
      <c r="H9" s="40"/>
      <c r="I9" s="40"/>
    </row>
    <row r="10" spans="2:9" x14ac:dyDescent="0.2">
      <c r="B10" s="5" t="s">
        <v>394</v>
      </c>
      <c r="C10" s="5" t="s">
        <v>260</v>
      </c>
      <c r="D10" s="5" t="s">
        <v>489</v>
      </c>
      <c r="E10" s="5"/>
      <c r="F10" s="40"/>
      <c r="G10" s="40"/>
      <c r="H10" s="40"/>
      <c r="I10" s="40"/>
    </row>
    <row r="11" spans="2:9" x14ac:dyDescent="0.2">
      <c r="B11" s="67"/>
      <c r="C11" s="67"/>
      <c r="D11" s="67"/>
      <c r="E11" s="67"/>
      <c r="F11" s="40"/>
      <c r="G11" s="40"/>
      <c r="H11" s="40"/>
      <c r="I11" s="40"/>
    </row>
    <row r="12" spans="2:9" x14ac:dyDescent="0.2">
      <c r="B12" s="67" t="s">
        <v>394</v>
      </c>
      <c r="C12" s="67" t="s">
        <v>492</v>
      </c>
      <c r="D12" s="67" t="s">
        <v>449</v>
      </c>
      <c r="E12" s="67" t="s">
        <v>488</v>
      </c>
      <c r="F12" s="40"/>
      <c r="G12" s="40"/>
      <c r="H12" s="40"/>
      <c r="I12" s="40"/>
    </row>
    <row r="13" spans="2:9" x14ac:dyDescent="0.2">
      <c r="B13" s="38"/>
      <c r="C13" s="38"/>
      <c r="D13" s="38"/>
      <c r="E13" s="465"/>
      <c r="F13" s="40"/>
      <c r="G13" s="40"/>
      <c r="H13" s="40"/>
      <c r="I13" s="40"/>
    </row>
    <row r="14" spans="2:9" ht="13.5" customHeight="1" x14ac:dyDescent="0.2">
      <c r="B14" s="5" t="s">
        <v>394</v>
      </c>
      <c r="C14" s="5" t="s">
        <v>241</v>
      </c>
      <c r="D14" s="90" t="s">
        <v>62</v>
      </c>
      <c r="E14" s="466" t="s">
        <v>350</v>
      </c>
      <c r="F14" s="40"/>
      <c r="G14" s="40"/>
      <c r="H14" s="40"/>
      <c r="I14" s="40"/>
    </row>
    <row r="15" spans="2:9" x14ac:dyDescent="0.2">
      <c r="B15" s="67"/>
      <c r="C15" s="67"/>
      <c r="D15" s="67"/>
      <c r="E15" s="67" t="s">
        <v>498</v>
      </c>
      <c r="F15" s="40"/>
      <c r="G15" s="40"/>
      <c r="H15" s="40"/>
      <c r="I15" s="40"/>
    </row>
    <row r="16" spans="2:9" ht="13.5" customHeight="1" x14ac:dyDescent="0.2">
      <c r="B16" s="67" t="s">
        <v>213</v>
      </c>
      <c r="C16" s="67" t="s">
        <v>131</v>
      </c>
      <c r="D16" s="67" t="s">
        <v>499</v>
      </c>
      <c r="E16" s="67" t="s">
        <v>493</v>
      </c>
      <c r="F16" s="40"/>
      <c r="G16" s="40"/>
      <c r="H16" s="40"/>
      <c r="I16" s="40"/>
    </row>
    <row r="17" spans="2:9" x14ac:dyDescent="0.2">
      <c r="B17" s="38"/>
      <c r="C17" s="38"/>
      <c r="D17" s="38"/>
      <c r="E17" s="38"/>
      <c r="F17" s="40"/>
      <c r="G17" s="40"/>
      <c r="H17" s="40"/>
      <c r="I17" s="40"/>
    </row>
    <row r="18" spans="2:9" x14ac:dyDescent="0.2">
      <c r="B18" s="5" t="s">
        <v>275</v>
      </c>
      <c r="C18" s="5" t="s">
        <v>155</v>
      </c>
      <c r="D18" s="5"/>
      <c r="E18" s="5"/>
      <c r="F18" s="40"/>
      <c r="G18" s="40"/>
      <c r="H18" s="40"/>
      <c r="I18" s="40"/>
    </row>
    <row r="19" spans="2:9" x14ac:dyDescent="0.2">
      <c r="B19" s="67"/>
      <c r="C19" s="67"/>
      <c r="D19" s="67"/>
      <c r="E19" s="67"/>
      <c r="F19" s="40"/>
      <c r="G19" s="40"/>
      <c r="H19" s="40"/>
      <c r="I19" s="40"/>
    </row>
    <row r="20" spans="2:9" x14ac:dyDescent="0.2">
      <c r="B20" s="67" t="s">
        <v>213</v>
      </c>
      <c r="C20" s="67" t="s">
        <v>118</v>
      </c>
      <c r="D20" s="67" t="s">
        <v>494</v>
      </c>
      <c r="E20" s="67" t="s">
        <v>491</v>
      </c>
      <c r="F20" s="40"/>
      <c r="G20" s="40"/>
      <c r="H20" s="40"/>
      <c r="I20" s="40"/>
    </row>
    <row r="21" spans="2:9" ht="12" customHeight="1" x14ac:dyDescent="0.2">
      <c r="B21" s="38"/>
      <c r="C21" s="38"/>
      <c r="D21" s="38"/>
      <c r="E21" s="465"/>
      <c r="F21" s="40"/>
      <c r="G21" s="40"/>
      <c r="H21" s="40"/>
      <c r="I21" s="40"/>
    </row>
    <row r="22" spans="2:9" ht="12" customHeight="1" x14ac:dyDescent="0.2">
      <c r="B22" s="5" t="s">
        <v>490</v>
      </c>
      <c r="C22" s="5" t="s">
        <v>118</v>
      </c>
      <c r="D22" s="90" t="s">
        <v>495</v>
      </c>
      <c r="E22" s="466" t="s">
        <v>501</v>
      </c>
      <c r="F22" s="40"/>
      <c r="G22" s="40"/>
      <c r="H22" s="40"/>
      <c r="I22" s="40"/>
    </row>
    <row r="23" spans="2:9" x14ac:dyDescent="0.2">
      <c r="B23" s="36"/>
      <c r="C23" s="36"/>
      <c r="D23" s="36"/>
      <c r="E23" s="36"/>
      <c r="F23" s="40"/>
      <c r="G23" s="40"/>
      <c r="H23" s="40"/>
      <c r="I23" s="40"/>
    </row>
    <row r="24" spans="2:9" x14ac:dyDescent="0.2">
      <c r="B24" s="37" t="s">
        <v>288</v>
      </c>
      <c r="C24" s="37" t="s">
        <v>293</v>
      </c>
      <c r="D24" s="37" t="s">
        <v>28</v>
      </c>
      <c r="E24" s="37"/>
      <c r="F24" s="40"/>
      <c r="G24" s="40"/>
      <c r="H24" s="40"/>
      <c r="I24" s="40"/>
    </row>
    <row r="25" spans="2:9" x14ac:dyDescent="0.2">
      <c r="B25" s="40"/>
      <c r="C25" s="40"/>
      <c r="D25" s="40"/>
      <c r="E25" s="40"/>
      <c r="F25" s="40"/>
      <c r="G25" s="40"/>
      <c r="H25" s="40"/>
      <c r="I25" s="40"/>
    </row>
    <row r="26" spans="2:9" x14ac:dyDescent="0.2">
      <c r="B26" s="40"/>
      <c r="C26" s="40"/>
      <c r="D26" s="40"/>
      <c r="E26" s="40"/>
      <c r="F26" s="40"/>
      <c r="G26" s="40"/>
      <c r="H26" s="40"/>
      <c r="I26" s="40"/>
    </row>
    <row r="27" spans="2:9" x14ac:dyDescent="0.2">
      <c r="B27" s="40"/>
      <c r="C27" s="40"/>
      <c r="D27" s="40"/>
      <c r="E27" s="40"/>
      <c r="F27" s="40"/>
      <c r="G27" s="40"/>
      <c r="H27" s="40"/>
      <c r="I27" s="40"/>
    </row>
    <row r="28" spans="2:9" x14ac:dyDescent="0.2">
      <c r="B28" s="40"/>
      <c r="C28" s="40"/>
      <c r="D28" s="40"/>
      <c r="E28" s="40"/>
      <c r="F28" s="40"/>
      <c r="G28" s="40"/>
      <c r="H28" s="40"/>
      <c r="I28" s="40"/>
    </row>
    <row r="29" spans="2:9" x14ac:dyDescent="0.2">
      <c r="B29" s="40"/>
      <c r="C29" s="40"/>
      <c r="D29" s="40"/>
      <c r="E29" s="40"/>
      <c r="F29" s="40"/>
      <c r="G29" s="40"/>
      <c r="H29" s="40"/>
      <c r="I29" s="40"/>
    </row>
    <row r="30" spans="2:9" x14ac:dyDescent="0.2">
      <c r="B30" s="40"/>
      <c r="C30" s="40"/>
      <c r="D30" s="40"/>
      <c r="E30" s="40"/>
      <c r="F30" s="40"/>
      <c r="G30" s="40"/>
      <c r="H30" s="40"/>
      <c r="I30" s="40"/>
    </row>
    <row r="31" spans="2:9" x14ac:dyDescent="0.2">
      <c r="B31" s="40"/>
      <c r="C31" s="40"/>
      <c r="D31" s="40"/>
      <c r="E31" s="40"/>
      <c r="F31" s="40"/>
      <c r="G31" s="40"/>
      <c r="H31" s="40"/>
      <c r="I31" s="40"/>
    </row>
    <row r="32" spans="2:9" x14ac:dyDescent="0.2">
      <c r="B32" s="40"/>
      <c r="C32" s="40"/>
      <c r="D32" s="40"/>
      <c r="E32" s="40"/>
      <c r="F32" s="40"/>
      <c r="G32" s="40"/>
      <c r="H32" s="40"/>
      <c r="I32" s="40"/>
    </row>
    <row r="33" spans="2:9" x14ac:dyDescent="0.2">
      <c r="B33" s="40"/>
      <c r="C33" s="40"/>
      <c r="D33" s="40"/>
      <c r="E33" s="40"/>
      <c r="F33" s="40"/>
      <c r="G33" s="40"/>
      <c r="H33" s="40"/>
      <c r="I33" s="40"/>
    </row>
    <row r="34" spans="2:9" x14ac:dyDescent="0.2">
      <c r="B34" s="40"/>
      <c r="C34" s="40"/>
      <c r="D34" s="40"/>
      <c r="E34" s="40"/>
      <c r="F34" s="40"/>
      <c r="G34" s="40"/>
      <c r="H34" s="40"/>
      <c r="I34" s="40"/>
    </row>
    <row r="35" spans="2:9" x14ac:dyDescent="0.2">
      <c r="B35" s="40"/>
      <c r="C35" s="40"/>
      <c r="D35" s="40"/>
      <c r="E35" s="40"/>
      <c r="F35" s="40"/>
      <c r="G35" s="40"/>
      <c r="H35" s="40"/>
      <c r="I35" s="40"/>
    </row>
    <row r="36" spans="2:9" x14ac:dyDescent="0.2">
      <c r="B36" s="40"/>
      <c r="C36" s="40"/>
      <c r="D36" s="40"/>
      <c r="E36" s="40"/>
      <c r="F36" s="40"/>
      <c r="G36" s="40"/>
      <c r="H36" s="40"/>
      <c r="I36" s="40"/>
    </row>
    <row r="37" spans="2:9" x14ac:dyDescent="0.2">
      <c r="B37" s="40"/>
      <c r="C37" s="40"/>
      <c r="D37" s="40"/>
      <c r="E37" s="40"/>
      <c r="F37" s="40"/>
      <c r="G37" s="40"/>
      <c r="H37" s="40"/>
      <c r="I37" s="40"/>
    </row>
    <row r="38" spans="2:9" x14ac:dyDescent="0.2">
      <c r="B38" s="40"/>
      <c r="C38" s="40"/>
      <c r="D38" s="40"/>
      <c r="E38" s="40"/>
      <c r="F38" s="40"/>
      <c r="G38" s="40"/>
      <c r="H38" s="40"/>
      <c r="I38" s="40"/>
    </row>
    <row r="39" spans="2:9" x14ac:dyDescent="0.2">
      <c r="B39" s="40"/>
      <c r="C39" s="40"/>
      <c r="D39" s="40"/>
      <c r="E39" s="40"/>
      <c r="F39" s="40"/>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B45" s="40"/>
      <c r="C45" s="40"/>
      <c r="D45" s="40"/>
      <c r="E45" s="40"/>
      <c r="F45" s="40"/>
      <c r="G45" s="40"/>
      <c r="H45" s="40"/>
      <c r="I45" s="40"/>
    </row>
    <row r="46" spans="2:9" x14ac:dyDescent="0.2">
      <c r="B46" s="40"/>
      <c r="C46" s="40"/>
      <c r="D46" s="40"/>
      <c r="E46" s="40"/>
      <c r="F46" s="40"/>
      <c r="G46" s="40"/>
      <c r="H46" s="40"/>
      <c r="I46" s="40"/>
    </row>
    <row r="47" spans="2:9" x14ac:dyDescent="0.2">
      <c r="B47" s="40"/>
      <c r="C47" s="40"/>
      <c r="D47" s="40"/>
      <c r="E47" s="40"/>
      <c r="F47" s="40"/>
      <c r="G47" s="40"/>
      <c r="H47" s="40"/>
      <c r="I47" s="40"/>
    </row>
    <row r="48" spans="2:9" x14ac:dyDescent="0.2">
      <c r="B48" s="40"/>
      <c r="C48" s="40"/>
      <c r="D48" s="40"/>
      <c r="E48" s="40"/>
      <c r="F48" s="40"/>
      <c r="G48" s="40"/>
      <c r="H48" s="40"/>
      <c r="I48" s="40"/>
    </row>
    <row r="49" spans="6:9" x14ac:dyDescent="0.2">
      <c r="F49" s="40"/>
      <c r="G49" s="40"/>
      <c r="H49" s="40"/>
      <c r="I49" s="40"/>
    </row>
    <row r="50" spans="6:9" x14ac:dyDescent="0.2">
      <c r="F50" s="40"/>
      <c r="G50" s="40"/>
      <c r="H50" s="40"/>
      <c r="I50" s="40"/>
    </row>
    <row r="51" spans="6:9" x14ac:dyDescent="0.2">
      <c r="F51" s="40"/>
      <c r="G51" s="40"/>
      <c r="H51" s="40"/>
      <c r="I51" s="40"/>
    </row>
    <row r="52" spans="6:9" x14ac:dyDescent="0.2">
      <c r="F52" s="40"/>
      <c r="G52" s="40"/>
      <c r="H52" s="40"/>
      <c r="I52" s="40"/>
    </row>
    <row r="53" spans="6:9" x14ac:dyDescent="0.2">
      <c r="F53" s="40"/>
      <c r="G53" s="40"/>
      <c r="H53" s="40"/>
      <c r="I53" s="40"/>
    </row>
    <row r="54" spans="6:9" x14ac:dyDescent="0.2">
      <c r="F54" s="40"/>
      <c r="G54" s="40"/>
      <c r="H54" s="40"/>
      <c r="I54" s="40"/>
    </row>
    <row r="55" spans="6:9" x14ac:dyDescent="0.2">
      <c r="F55" s="40"/>
      <c r="G55" s="40"/>
      <c r="H55" s="40"/>
      <c r="I55" s="40"/>
    </row>
    <row r="56" spans="6:9" x14ac:dyDescent="0.2">
      <c r="F56" s="40"/>
      <c r="G56" s="40"/>
      <c r="H56" s="40"/>
      <c r="I56" s="40"/>
    </row>
    <row r="57" spans="6:9" x14ac:dyDescent="0.2">
      <c r="F57" s="40"/>
      <c r="G57" s="40"/>
      <c r="H57" s="40"/>
      <c r="I57" s="40"/>
    </row>
  </sheetData>
  <mergeCells count="1">
    <mergeCell ref="B2:E2"/>
  </mergeCells>
  <pageMargins left="0.7" right="0.7" top="0.75" bottom="0.75" header="0.3" footer="0.3"/>
  <pageSetup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3"/>
  <sheetViews>
    <sheetView zoomScaleNormal="100" workbookViewId="0"/>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74"/>
      <c r="B1" s="327" t="s">
        <v>49</v>
      </c>
      <c r="C1" s="56"/>
      <c r="D1" s="76"/>
      <c r="E1" s="56"/>
      <c r="F1" s="57"/>
      <c r="G1" s="56"/>
      <c r="H1" s="76"/>
      <c r="I1" s="56"/>
      <c r="J1" s="56"/>
    </row>
    <row r="2" spans="1:44" s="40" customFormat="1" x14ac:dyDescent="0.2">
      <c r="A2" s="374"/>
      <c r="B2" s="575" t="s">
        <v>383</v>
      </c>
      <c r="C2" s="575"/>
      <c r="D2" s="575"/>
      <c r="E2" s="575"/>
      <c r="F2" s="575"/>
      <c r="G2" s="575"/>
      <c r="H2" s="575"/>
      <c r="I2" s="575"/>
      <c r="J2" s="575"/>
    </row>
    <row r="3" spans="1:44" s="81" customFormat="1" ht="14.25" x14ac:dyDescent="0.2">
      <c r="A3" s="188"/>
      <c r="B3" s="375" t="s">
        <v>380</v>
      </c>
      <c r="C3" s="376"/>
      <c r="D3" s="376"/>
      <c r="E3" s="376"/>
      <c r="F3" s="376"/>
      <c r="G3" s="376"/>
      <c r="H3" s="376"/>
      <c r="I3" s="376"/>
      <c r="J3" s="377"/>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row>
    <row r="4" spans="1:44" s="40" customFormat="1" x14ac:dyDescent="0.2">
      <c r="A4" s="321"/>
      <c r="B4" s="378" t="s">
        <v>387</v>
      </c>
      <c r="C4" s="378"/>
      <c r="D4" s="378"/>
      <c r="E4" s="378"/>
      <c r="F4" s="378"/>
      <c r="G4" s="378"/>
      <c r="H4" s="378"/>
      <c r="I4" s="378"/>
      <c r="J4" s="378"/>
    </row>
    <row r="5" spans="1:44" s="40" customFormat="1" x14ac:dyDescent="0.2">
      <c r="A5" s="321"/>
      <c r="B5" s="561" t="s">
        <v>386</v>
      </c>
      <c r="C5" s="561"/>
      <c r="D5" s="561"/>
      <c r="E5" s="561"/>
      <c r="F5" s="561"/>
      <c r="G5" s="561"/>
      <c r="H5" s="561"/>
      <c r="I5" s="561"/>
      <c r="J5" s="561"/>
    </row>
    <row r="6" spans="1:44" ht="9" customHeight="1" x14ac:dyDescent="0.2">
      <c r="A6" s="40"/>
      <c r="B6" s="40"/>
      <c r="C6" s="40"/>
      <c r="D6" s="58"/>
      <c r="E6" s="40"/>
      <c r="F6" s="41"/>
      <c r="G6" s="40"/>
      <c r="H6" s="58"/>
      <c r="I6" s="40"/>
      <c r="J6" s="40"/>
    </row>
    <row r="7" spans="1:44" s="92" customFormat="1" ht="31.5" customHeight="1" x14ac:dyDescent="0.25">
      <c r="A7" s="91"/>
      <c r="B7" s="576" t="s">
        <v>533</v>
      </c>
      <c r="C7" s="572"/>
      <c r="D7" s="572"/>
      <c r="E7" s="572"/>
      <c r="F7" s="572"/>
      <c r="G7" s="572"/>
      <c r="H7" s="572"/>
      <c r="I7" s="572"/>
      <c r="J7" s="572"/>
      <c r="K7" s="91"/>
      <c r="L7" s="91"/>
      <c r="M7" s="91"/>
      <c r="N7" s="91"/>
      <c r="O7" s="91"/>
      <c r="P7" s="91"/>
      <c r="Q7" s="91"/>
      <c r="R7" s="91"/>
      <c r="S7" s="91"/>
      <c r="T7" s="91"/>
      <c r="U7" s="91"/>
      <c r="V7" s="91"/>
      <c r="W7" s="91"/>
      <c r="X7" s="91"/>
      <c r="Y7" s="91"/>
      <c r="Z7" s="91"/>
      <c r="AA7" s="91"/>
      <c r="AB7" s="91"/>
      <c r="AC7" s="91"/>
      <c r="AD7" s="91"/>
      <c r="AE7" s="91"/>
      <c r="AF7" s="91"/>
    </row>
    <row r="8" spans="1:44" s="89" customFormat="1" ht="6" customHeight="1" x14ac:dyDescent="0.2">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249</v>
      </c>
      <c r="E9" s="83"/>
      <c r="F9" s="84"/>
      <c r="G9" s="83"/>
      <c r="H9" s="83" t="s">
        <v>250</v>
      </c>
      <c r="I9" s="83"/>
      <c r="J9" s="85" t="s">
        <v>251</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252</v>
      </c>
      <c r="C10" s="220"/>
      <c r="D10" s="87" t="s">
        <v>156</v>
      </c>
      <c r="E10" s="87"/>
      <c r="F10" s="221" t="s">
        <v>157</v>
      </c>
      <c r="G10" s="87"/>
      <c r="H10" s="87" t="s">
        <v>5</v>
      </c>
      <c r="I10" s="87"/>
      <c r="J10" s="222" t="s">
        <v>198</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199</v>
      </c>
      <c r="C12" s="7"/>
      <c r="D12" s="44"/>
      <c r="E12" s="7"/>
      <c r="F12" s="8"/>
      <c r="G12" s="7"/>
      <c r="H12" s="44"/>
      <c r="I12" s="7"/>
      <c r="J12" s="9"/>
    </row>
    <row r="13" spans="1:44" x14ac:dyDescent="0.2">
      <c r="A13" s="40"/>
      <c r="B13" s="10" t="s">
        <v>138</v>
      </c>
      <c r="C13" s="11"/>
      <c r="D13" s="363">
        <f>+Summary!$D$22</f>
        <v>1100</v>
      </c>
      <c r="E13" s="11"/>
      <c r="F13" s="12" t="s">
        <v>189</v>
      </c>
      <c r="G13" s="11"/>
      <c r="H13" s="418">
        <f>+Summary!$E$22</f>
        <v>0.30230000000000001</v>
      </c>
      <c r="I13" s="11"/>
      <c r="J13" s="13">
        <f>D13*H13</f>
        <v>332.53000000000003</v>
      </c>
      <c r="L13" s="48"/>
      <c r="M13" s="48"/>
      <c r="N13" s="48"/>
      <c r="O13" s="48"/>
      <c r="P13" s="48"/>
    </row>
    <row r="14" spans="1:44" x14ac:dyDescent="0.2">
      <c r="A14" s="40"/>
      <c r="B14" s="11"/>
      <c r="C14" s="11"/>
      <c r="D14" s="72"/>
      <c r="E14" s="11"/>
      <c r="F14" s="15"/>
      <c r="G14" s="11"/>
      <c r="H14" s="77"/>
      <c r="I14" s="11"/>
      <c r="J14" s="13"/>
    </row>
    <row r="15" spans="1:44" x14ac:dyDescent="0.2">
      <c r="A15" s="40"/>
      <c r="B15" s="6" t="s">
        <v>167</v>
      </c>
      <c r="C15" s="7"/>
      <c r="D15" s="44"/>
      <c r="E15" s="7"/>
      <c r="F15" s="8"/>
      <c r="G15" s="7"/>
      <c r="H15" s="61"/>
      <c r="I15" s="7"/>
      <c r="J15" s="16"/>
    </row>
    <row r="16" spans="1:44" ht="4.5" hidden="1" customHeight="1" x14ac:dyDescent="0.2">
      <c r="A16" s="40"/>
      <c r="B16" s="7"/>
      <c r="C16" s="7"/>
      <c r="D16" s="44"/>
      <c r="E16" s="7"/>
      <c r="F16" s="8"/>
      <c r="G16" s="7"/>
      <c r="H16" s="61"/>
      <c r="I16" s="7"/>
      <c r="J16" s="20"/>
    </row>
    <row r="17" spans="1:33" ht="15.75" x14ac:dyDescent="0.25">
      <c r="A17" s="40"/>
      <c r="B17" s="52" t="s">
        <v>200</v>
      </c>
      <c r="C17" s="7"/>
      <c r="D17" s="66"/>
      <c r="E17" s="7"/>
      <c r="F17" s="8"/>
      <c r="G17" s="7"/>
      <c r="H17" s="61"/>
      <c r="I17" s="7"/>
      <c r="J17" s="324">
        <f>SUM(J18:J18)</f>
        <v>18.45</v>
      </c>
    </row>
    <row r="18" spans="1:33" x14ac:dyDescent="0.2">
      <c r="A18" s="40"/>
      <c r="B18" s="10" t="s">
        <v>92</v>
      </c>
      <c r="C18" s="11"/>
      <c r="D18" s="361">
        <v>45</v>
      </c>
      <c r="E18" s="11"/>
      <c r="F18" s="12" t="s">
        <v>189</v>
      </c>
      <c r="G18" s="11"/>
      <c r="H18" s="356">
        <f>Lentil</f>
        <v>0.41</v>
      </c>
      <c r="I18" s="11"/>
      <c r="J18" s="13">
        <f>D18*H18</f>
        <v>18.45</v>
      </c>
    </row>
    <row r="19" spans="1:33" ht="5.0999999999999996" customHeight="1" x14ac:dyDescent="0.2">
      <c r="A19" s="40"/>
      <c r="B19" s="7"/>
      <c r="C19" s="7"/>
      <c r="D19" s="44"/>
      <c r="E19" s="7"/>
      <c r="F19" s="8"/>
      <c r="G19" s="7"/>
      <c r="H19" s="61"/>
      <c r="I19" s="7"/>
      <c r="J19" s="20"/>
    </row>
    <row r="20" spans="1:33" x14ac:dyDescent="0.2">
      <c r="A20" s="40"/>
      <c r="B20" s="52" t="s">
        <v>212</v>
      </c>
      <c r="C20" s="7"/>
      <c r="D20" s="44"/>
      <c r="E20" s="7"/>
      <c r="F20" s="8"/>
      <c r="G20" s="7"/>
      <c r="H20" s="61"/>
      <c r="I20" s="7"/>
      <c r="J20" s="324">
        <f>SUM(J21:J21)</f>
        <v>0</v>
      </c>
      <c r="L20" s="42"/>
    </row>
    <row r="21" spans="1:33" x14ac:dyDescent="0.2">
      <c r="A21" s="40"/>
      <c r="B21" s="18"/>
      <c r="C21" s="7"/>
      <c r="D21" s="191"/>
      <c r="E21" s="7"/>
      <c r="F21" s="19"/>
      <c r="G21" s="7"/>
      <c r="H21" s="192"/>
      <c r="I21" s="7"/>
      <c r="J21" s="20">
        <f>D21*H21</f>
        <v>0</v>
      </c>
    </row>
    <row r="22" spans="1:33" ht="5.0999999999999996" customHeight="1" x14ac:dyDescent="0.2">
      <c r="A22" s="40"/>
      <c r="B22" s="7"/>
      <c r="C22" s="7"/>
      <c r="D22" s="44"/>
      <c r="E22" s="7"/>
      <c r="F22" s="8"/>
      <c r="G22" s="7"/>
      <c r="H22" s="61"/>
      <c r="I22" s="7"/>
      <c r="J22" s="20"/>
    </row>
    <row r="23" spans="1:33" x14ac:dyDescent="0.2">
      <c r="A23" s="40"/>
      <c r="B23" s="52" t="s">
        <v>181</v>
      </c>
      <c r="C23" s="7"/>
      <c r="D23" s="44"/>
      <c r="E23" s="7"/>
      <c r="F23" s="8"/>
      <c r="G23" s="7"/>
      <c r="H23" s="61"/>
      <c r="I23" s="7"/>
      <c r="J23" s="324">
        <f>SUM(J27:J32)</f>
        <v>36.09375</v>
      </c>
    </row>
    <row r="24" spans="1:33" s="50" customFormat="1" x14ac:dyDescent="0.2">
      <c r="A24" s="68"/>
      <c r="B24" s="315" t="s">
        <v>346</v>
      </c>
      <c r="C24" s="69"/>
      <c r="D24" s="75"/>
      <c r="E24" s="69"/>
      <c r="F24" s="70"/>
      <c r="G24" s="69"/>
      <c r="H24" s="316"/>
      <c r="I24" s="69"/>
      <c r="J24" s="319"/>
      <c r="L24" s="68"/>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15" t="s">
        <v>347</v>
      </c>
      <c r="C25" s="69"/>
      <c r="D25" s="75"/>
      <c r="E25" s="69"/>
      <c r="F25" s="70"/>
      <c r="G25" s="69"/>
      <c r="H25" s="316"/>
      <c r="I25" s="69"/>
      <c r="J25" s="319"/>
      <c r="L25" s="68"/>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15" t="s">
        <v>348</v>
      </c>
      <c r="C26" s="69"/>
      <c r="D26" s="75"/>
      <c r="E26" s="69"/>
      <c r="F26" s="70"/>
      <c r="G26" s="69"/>
      <c r="H26" s="316"/>
      <c r="I26" s="69"/>
      <c r="J26" s="319"/>
      <c r="L26" s="68"/>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208</v>
      </c>
      <c r="C27" s="7"/>
      <c r="D27" s="361">
        <v>3</v>
      </c>
      <c r="E27" s="7"/>
      <c r="F27" s="19" t="s">
        <v>191</v>
      </c>
      <c r="G27" s="7"/>
      <c r="H27" s="356">
        <f>Pursuit</f>
        <v>3.53</v>
      </c>
      <c r="I27" s="7"/>
      <c r="J27" s="20">
        <f t="shared" ref="J27:J32" si="0">D27*H27</f>
        <v>10.59</v>
      </c>
    </row>
    <row r="28" spans="1:33" x14ac:dyDescent="0.2">
      <c r="A28" s="40"/>
      <c r="B28" s="18" t="s">
        <v>209</v>
      </c>
      <c r="C28" s="7"/>
      <c r="D28" s="361">
        <v>24</v>
      </c>
      <c r="E28" s="7"/>
      <c r="F28" s="19" t="s">
        <v>191</v>
      </c>
      <c r="G28" s="7"/>
      <c r="H28" s="356">
        <f>Prowl</f>
        <v>0.46</v>
      </c>
      <c r="I28" s="7"/>
      <c r="J28" s="20">
        <f t="shared" si="0"/>
        <v>11.040000000000001</v>
      </c>
    </row>
    <row r="29" spans="1:33" x14ac:dyDescent="0.2">
      <c r="A29" s="40"/>
      <c r="B29" s="18" t="s">
        <v>162</v>
      </c>
      <c r="C29" s="7"/>
      <c r="D29" s="361">
        <v>50</v>
      </c>
      <c r="E29" s="7"/>
      <c r="F29" s="19" t="s">
        <v>191</v>
      </c>
      <c r="G29" s="7"/>
      <c r="H29" s="381">
        <f>AmmSulfLiq/16</f>
        <v>3.1250000000000002E-3</v>
      </c>
      <c r="I29" s="7"/>
      <c r="J29" s="20">
        <f t="shared" si="0"/>
        <v>0.15625</v>
      </c>
    </row>
    <row r="30" spans="1:33" x14ac:dyDescent="0.2">
      <c r="A30" s="40"/>
      <c r="B30" s="55" t="s">
        <v>277</v>
      </c>
      <c r="C30" s="7"/>
      <c r="D30" s="369">
        <v>1.5</v>
      </c>
      <c r="E30" s="7"/>
      <c r="F30" s="19" t="s">
        <v>191</v>
      </c>
      <c r="G30" s="7"/>
      <c r="H30" s="356">
        <f>surf</f>
        <v>0.23</v>
      </c>
      <c r="I30" s="7"/>
      <c r="J30" s="20">
        <f t="shared" si="0"/>
        <v>0.34500000000000003</v>
      </c>
    </row>
    <row r="31" spans="1:33" x14ac:dyDescent="0.2">
      <c r="A31" s="40"/>
      <c r="B31" s="18" t="s">
        <v>210</v>
      </c>
      <c r="C31" s="7"/>
      <c r="D31" s="361">
        <v>1</v>
      </c>
      <c r="E31" s="7"/>
      <c r="F31" s="19" t="s">
        <v>278</v>
      </c>
      <c r="G31" s="7"/>
      <c r="H31" s="356">
        <f>Dimethoate</f>
        <v>8.4</v>
      </c>
      <c r="I31" s="7"/>
      <c r="J31" s="20">
        <f t="shared" si="0"/>
        <v>8.4</v>
      </c>
    </row>
    <row r="32" spans="1:33" x14ac:dyDescent="0.2">
      <c r="A32" s="197"/>
      <c r="B32" s="18" t="s">
        <v>358</v>
      </c>
      <c r="C32" s="7"/>
      <c r="D32" s="361">
        <v>1</v>
      </c>
      <c r="E32" s="7"/>
      <c r="F32" s="19" t="s">
        <v>150</v>
      </c>
      <c r="G32" s="7"/>
      <c r="H32" s="356">
        <v>5.5625</v>
      </c>
      <c r="I32" s="7"/>
      <c r="J32" s="20">
        <f t="shared" si="0"/>
        <v>5.5625</v>
      </c>
      <c r="K32"/>
      <c r="L32" s="197"/>
      <c r="M32" s="197"/>
      <c r="N32" s="197"/>
      <c r="O32" s="197"/>
      <c r="P32" s="197"/>
      <c r="Q32" s="197"/>
      <c r="R32" s="197"/>
      <c r="S32" s="197"/>
      <c r="T32" s="197"/>
      <c r="U32" s="197"/>
      <c r="V32" s="197"/>
      <c r="W32" s="197"/>
      <c r="X32" s="197"/>
      <c r="Y32" s="197"/>
      <c r="Z32" s="197"/>
      <c r="AA32" s="197"/>
      <c r="AB32" s="197"/>
      <c r="AC32" s="197"/>
      <c r="AD32" s="197"/>
      <c r="AE32" s="197"/>
      <c r="AF32" s="197"/>
      <c r="AG32" s="197"/>
    </row>
    <row r="33" spans="1:10" ht="5.25" customHeight="1" x14ac:dyDescent="0.2">
      <c r="A33" s="40"/>
      <c r="B33" s="7"/>
      <c r="C33" s="7"/>
      <c r="D33" s="59"/>
      <c r="E33" s="7"/>
      <c r="F33" s="8"/>
      <c r="G33" s="7"/>
      <c r="H33" s="61"/>
      <c r="I33" s="7"/>
      <c r="J33" s="20"/>
    </row>
    <row r="34" spans="1:10" x14ac:dyDescent="0.2">
      <c r="A34" s="40"/>
      <c r="B34" s="52" t="s">
        <v>50</v>
      </c>
      <c r="C34" s="7"/>
      <c r="D34" s="73"/>
      <c r="E34" s="7"/>
      <c r="F34" s="8"/>
      <c r="G34" s="7"/>
      <c r="H34" s="61"/>
      <c r="I34" s="7"/>
      <c r="J34" s="324">
        <f>SUM(J35:J39)</f>
        <v>53.224894530219288</v>
      </c>
    </row>
    <row r="35" spans="1:10" x14ac:dyDescent="0.2">
      <c r="A35" s="40"/>
      <c r="B35" s="33" t="s">
        <v>284</v>
      </c>
      <c r="C35" s="7"/>
      <c r="D35" s="353">
        <f>'Machinery Costs'!$M$218</f>
        <v>10.385915492957746</v>
      </c>
      <c r="E35" s="7"/>
      <c r="F35" s="19" t="s">
        <v>286</v>
      </c>
      <c r="G35" s="7"/>
      <c r="H35" s="356">
        <f>Diesel</f>
        <v>2</v>
      </c>
      <c r="I35" s="7"/>
      <c r="J35" s="20">
        <f>D35*H35</f>
        <v>20.771830985915493</v>
      </c>
    </row>
    <row r="36" spans="1:10" x14ac:dyDescent="0.2">
      <c r="A36" s="40"/>
      <c r="B36" s="33" t="s">
        <v>285</v>
      </c>
      <c r="C36" s="7"/>
      <c r="D36" s="43">
        <v>1</v>
      </c>
      <c r="E36" s="7"/>
      <c r="F36" s="19" t="s">
        <v>190</v>
      </c>
      <c r="G36" s="7"/>
      <c r="H36" s="354">
        <f>'Machinery Costs'!$I$218</f>
        <v>3.2309999999999999</v>
      </c>
      <c r="I36" s="7"/>
      <c r="J36" s="20">
        <f>D36*H36</f>
        <v>3.2309999999999999</v>
      </c>
    </row>
    <row r="37" spans="1:10" x14ac:dyDescent="0.2">
      <c r="A37" s="40"/>
      <c r="B37" s="33" t="s">
        <v>91</v>
      </c>
      <c r="C37" s="7"/>
      <c r="D37" s="43">
        <v>1</v>
      </c>
      <c r="E37" s="7"/>
      <c r="F37" s="19" t="s">
        <v>190</v>
      </c>
      <c r="G37" s="7"/>
      <c r="H37" s="354">
        <f>'Machinery Costs'!$G$218</f>
        <v>9.3480000000000008</v>
      </c>
      <c r="I37" s="7"/>
      <c r="J37" s="20">
        <f>D37*H37</f>
        <v>9.3480000000000008</v>
      </c>
    </row>
    <row r="38" spans="1:10" x14ac:dyDescent="0.2">
      <c r="A38" s="40"/>
      <c r="B38" s="33" t="s">
        <v>173</v>
      </c>
      <c r="C38" s="7"/>
      <c r="D38" s="353">
        <f>'Machinery Costs'!$L$218</f>
        <v>0.99370317721518975</v>
      </c>
      <c r="E38" s="7"/>
      <c r="F38" s="312" t="s">
        <v>184</v>
      </c>
      <c r="G38" s="7"/>
      <c r="H38" s="356">
        <f>Labor</f>
        <v>20</v>
      </c>
      <c r="I38" s="7"/>
      <c r="J38" s="20">
        <f>D38*H38</f>
        <v>19.874063544303795</v>
      </c>
    </row>
    <row r="39" spans="1:10" x14ac:dyDescent="0.2">
      <c r="A39" s="40"/>
      <c r="B39" s="33"/>
      <c r="C39" s="7"/>
      <c r="D39" s="80"/>
      <c r="E39" s="7"/>
      <c r="F39" s="19"/>
      <c r="G39" s="7"/>
      <c r="H39" s="79"/>
      <c r="I39" s="7"/>
      <c r="J39" s="20">
        <f>D39*H39</f>
        <v>0</v>
      </c>
    </row>
    <row r="40" spans="1:10" ht="5.25" customHeight="1" x14ac:dyDescent="0.2">
      <c r="A40" s="40"/>
      <c r="B40" s="7"/>
      <c r="C40" s="7"/>
      <c r="D40" s="44"/>
      <c r="E40" s="7"/>
      <c r="F40" s="8"/>
      <c r="G40" s="7"/>
      <c r="H40" s="61"/>
      <c r="I40" s="7"/>
      <c r="J40" s="20"/>
    </row>
    <row r="41" spans="1:10" x14ac:dyDescent="0.2">
      <c r="A41" s="40"/>
      <c r="B41" s="52" t="s">
        <v>152</v>
      </c>
      <c r="C41" s="7"/>
      <c r="D41" s="73"/>
      <c r="E41" s="7"/>
      <c r="F41" s="8"/>
      <c r="G41" s="7"/>
      <c r="H41" s="61"/>
      <c r="I41" s="7"/>
      <c r="J41" s="324">
        <f>SUM(J42:J44)</f>
        <v>10.95</v>
      </c>
    </row>
    <row r="42" spans="1:10" x14ac:dyDescent="0.2">
      <c r="A42" s="40"/>
      <c r="B42" s="18" t="s">
        <v>261</v>
      </c>
      <c r="C42" s="7"/>
      <c r="D42" s="361">
        <v>1</v>
      </c>
      <c r="E42" s="7"/>
      <c r="F42" s="19" t="s">
        <v>190</v>
      </c>
      <c r="G42" s="7"/>
      <c r="H42" s="356">
        <f>Sprayer</f>
        <v>2</v>
      </c>
      <c r="I42" s="7"/>
      <c r="J42" s="20">
        <f>D42*H42</f>
        <v>2</v>
      </c>
    </row>
    <row r="43" spans="1:10" x14ac:dyDescent="0.2">
      <c r="A43" s="40"/>
      <c r="B43" s="18" t="s">
        <v>197</v>
      </c>
      <c r="C43" s="7"/>
      <c r="D43" s="361">
        <v>1</v>
      </c>
      <c r="E43" s="7"/>
      <c r="F43" s="19" t="s">
        <v>190</v>
      </c>
      <c r="G43" s="7"/>
      <c r="H43" s="356">
        <f>Aerial</f>
        <v>8.9499999999999993</v>
      </c>
      <c r="I43" s="7"/>
      <c r="J43" s="20">
        <f>D43*H43</f>
        <v>8.9499999999999993</v>
      </c>
    </row>
    <row r="44" spans="1:10" x14ac:dyDescent="0.2">
      <c r="A44" s="40"/>
      <c r="B44" s="18"/>
      <c r="C44" s="7"/>
      <c r="D44" s="191"/>
      <c r="E44" s="7"/>
      <c r="F44" s="19"/>
      <c r="G44" s="7"/>
      <c r="H44" s="192"/>
      <c r="I44" s="7"/>
      <c r="J44" s="20">
        <f>D44*H44</f>
        <v>0</v>
      </c>
    </row>
    <row r="45" spans="1:10" ht="5.25" customHeight="1" x14ac:dyDescent="0.2">
      <c r="A45" s="40"/>
      <c r="B45" s="7"/>
      <c r="C45" s="7"/>
      <c r="D45" s="44"/>
      <c r="E45" s="7"/>
      <c r="F45" s="8"/>
      <c r="G45" s="7"/>
      <c r="H45" s="61"/>
      <c r="I45" s="7"/>
      <c r="J45" s="20"/>
    </row>
    <row r="46" spans="1:10" x14ac:dyDescent="0.2">
      <c r="A46" s="40"/>
      <c r="B46" s="52" t="s">
        <v>153</v>
      </c>
      <c r="C46" s="7"/>
      <c r="D46" s="44"/>
      <c r="E46" s="7"/>
      <c r="F46" s="8"/>
      <c r="G46" s="7"/>
      <c r="H46" s="61"/>
      <c r="I46" s="7"/>
      <c r="J46" s="324">
        <f>SUM(J47:J49)</f>
        <v>22</v>
      </c>
    </row>
    <row r="47" spans="1:10" x14ac:dyDescent="0.2">
      <c r="A47" s="40"/>
      <c r="B47" s="18" t="s">
        <v>192</v>
      </c>
      <c r="C47" s="7"/>
      <c r="D47" s="43">
        <v>1</v>
      </c>
      <c r="E47" s="7"/>
      <c r="F47" s="19" t="s">
        <v>190</v>
      </c>
      <c r="G47" s="7"/>
      <c r="H47" s="358">
        <v>22</v>
      </c>
      <c r="I47" s="7"/>
      <c r="J47" s="20">
        <f>D47*H47</f>
        <v>22</v>
      </c>
    </row>
    <row r="48" spans="1:10" x14ac:dyDescent="0.2">
      <c r="A48" s="40"/>
      <c r="B48" s="33" t="s">
        <v>172</v>
      </c>
      <c r="C48" s="7"/>
      <c r="D48" s="43"/>
      <c r="E48" s="7"/>
      <c r="F48" s="19"/>
      <c r="G48" s="7"/>
      <c r="H48" s="45"/>
      <c r="I48" s="7"/>
      <c r="J48" s="20">
        <f>D48*H48</f>
        <v>0</v>
      </c>
    </row>
    <row r="49" spans="1:33" x14ac:dyDescent="0.2">
      <c r="A49" s="197"/>
      <c r="B49" s="33" t="s">
        <v>240</v>
      </c>
      <c r="C49" s="7"/>
      <c r="D49" s="193"/>
      <c r="E49" s="7"/>
      <c r="F49" s="19"/>
      <c r="G49" s="7"/>
      <c r="H49" s="45"/>
      <c r="I49" s="7"/>
      <c r="J49" s="20"/>
      <c r="K49"/>
      <c r="L49" s="197"/>
      <c r="M49" s="197"/>
      <c r="N49" s="197"/>
      <c r="O49" s="197"/>
      <c r="P49" s="197"/>
      <c r="Q49" s="197"/>
      <c r="R49" s="197"/>
      <c r="S49" s="197"/>
      <c r="T49" s="197"/>
      <c r="U49" s="197"/>
      <c r="V49" s="197"/>
      <c r="W49" s="197"/>
      <c r="X49" s="197"/>
      <c r="Y49" s="197"/>
      <c r="Z49" s="197"/>
      <c r="AA49" s="197"/>
      <c r="AB49" s="197"/>
      <c r="AC49" s="197"/>
      <c r="AD49" s="197"/>
      <c r="AE49" s="197"/>
      <c r="AF49" s="197"/>
      <c r="AG49" s="197"/>
    </row>
    <row r="50" spans="1:33" ht="5.0999999999999996" customHeight="1" x14ac:dyDescent="0.2">
      <c r="A50" s="40"/>
      <c r="B50" s="7"/>
      <c r="C50" s="7"/>
      <c r="D50" s="44"/>
      <c r="E50" s="7"/>
      <c r="F50" s="8"/>
      <c r="G50" s="7"/>
      <c r="H50" s="44"/>
      <c r="I50" s="7"/>
      <c r="J50" s="20"/>
    </row>
    <row r="51" spans="1:33" ht="14.25" x14ac:dyDescent="0.2">
      <c r="A51" s="40"/>
      <c r="B51" s="69" t="s">
        <v>329</v>
      </c>
      <c r="C51" s="7"/>
      <c r="D51" s="44"/>
      <c r="E51" s="7"/>
      <c r="F51" s="8"/>
      <c r="G51" s="7"/>
      <c r="H51" s="44"/>
      <c r="I51" s="7"/>
      <c r="J51" s="20">
        <f>+(J17+J20+J23+J34+J41+J46)*operloan*0.5</f>
        <v>4.0456610302438056</v>
      </c>
    </row>
    <row r="52" spans="1:33" ht="5.25" customHeight="1" x14ac:dyDescent="0.2">
      <c r="A52" s="40"/>
      <c r="B52" s="7"/>
      <c r="C52" s="7"/>
      <c r="D52" s="44"/>
      <c r="E52" s="7"/>
      <c r="F52" s="8"/>
      <c r="G52" s="7"/>
      <c r="H52" s="44"/>
      <c r="I52" s="7"/>
      <c r="J52" s="20"/>
    </row>
    <row r="53" spans="1:33" x14ac:dyDescent="0.2">
      <c r="A53" s="40"/>
      <c r="B53" s="52" t="s">
        <v>232</v>
      </c>
      <c r="C53" s="52"/>
      <c r="D53" s="65"/>
      <c r="E53" s="52"/>
      <c r="F53" s="53"/>
      <c r="G53" s="52"/>
      <c r="H53" s="65"/>
      <c r="I53" s="52"/>
      <c r="J53" s="54">
        <f>SUM(J17:J51)-(J17+J20+J23+J34+J41+J46)</f>
        <v>144.76430556046313</v>
      </c>
    </row>
    <row r="54" spans="1:33" x14ac:dyDescent="0.2">
      <c r="A54" s="40"/>
      <c r="B54" s="7" t="s">
        <v>233</v>
      </c>
      <c r="C54" s="7"/>
      <c r="D54" s="44"/>
      <c r="E54" s="7"/>
      <c r="F54" s="8"/>
      <c r="G54" s="7"/>
      <c r="H54" s="44"/>
      <c r="I54" s="7"/>
      <c r="J54" s="20">
        <f>J53/D13</f>
        <v>0.13160391414587558</v>
      </c>
    </row>
    <row r="55" spans="1:33" ht="5.25" customHeight="1" x14ac:dyDescent="0.2">
      <c r="A55" s="40"/>
      <c r="B55" s="7"/>
      <c r="C55" s="7"/>
      <c r="D55" s="44"/>
      <c r="E55" s="7"/>
      <c r="F55" s="8"/>
      <c r="G55" s="7"/>
      <c r="H55" s="44"/>
      <c r="I55" s="7"/>
      <c r="J55" s="20"/>
    </row>
    <row r="56" spans="1:33" s="47" customFormat="1" x14ac:dyDescent="0.2">
      <c r="A56" s="46"/>
      <c r="B56" s="62" t="s">
        <v>234</v>
      </c>
      <c r="C56" s="62"/>
      <c r="D56" s="63"/>
      <c r="E56" s="62"/>
      <c r="F56" s="64"/>
      <c r="G56" s="62"/>
      <c r="H56" s="63"/>
      <c r="I56" s="62"/>
      <c r="J56" s="96">
        <f>J13-J53</f>
        <v>187.7656944395369</v>
      </c>
      <c r="K56" s="46"/>
      <c r="L56" s="46"/>
      <c r="M56" s="46"/>
      <c r="N56" s="46"/>
      <c r="O56" s="46"/>
      <c r="P56" s="46"/>
      <c r="Q56" s="46"/>
      <c r="R56" s="46"/>
      <c r="S56" s="46"/>
      <c r="T56" s="46"/>
      <c r="U56" s="46"/>
      <c r="V56" s="46"/>
      <c r="W56" s="46"/>
      <c r="X56" s="46"/>
      <c r="Y56" s="46"/>
      <c r="Z56" s="46"/>
      <c r="AA56" s="46"/>
      <c r="AB56" s="46"/>
      <c r="AC56" s="46"/>
      <c r="AD56" s="46"/>
      <c r="AE56" s="46"/>
      <c r="AF56" s="46"/>
    </row>
    <row r="57" spans="1:33" ht="24.75" customHeight="1" x14ac:dyDescent="0.2">
      <c r="A57" s="40"/>
      <c r="B57" s="6" t="s">
        <v>325</v>
      </c>
      <c r="C57" s="7"/>
      <c r="D57" s="44"/>
      <c r="E57" s="7"/>
      <c r="F57" s="8"/>
      <c r="G57" s="7"/>
      <c r="H57" s="44"/>
      <c r="I57" s="7"/>
      <c r="J57" s="20"/>
    </row>
    <row r="58" spans="1:33" x14ac:dyDescent="0.2">
      <c r="A58" s="40"/>
      <c r="B58" s="417" t="s">
        <v>477</v>
      </c>
      <c r="C58" s="95"/>
      <c r="D58" s="59"/>
      <c r="E58" s="7"/>
      <c r="F58" s="19" t="s">
        <v>190</v>
      </c>
      <c r="G58" s="7"/>
      <c r="H58" s="353">
        <f>'Machinery Costs'!C218</f>
        <v>17.040000000000003</v>
      </c>
      <c r="I58" s="7"/>
      <c r="J58" s="20">
        <f>H58</f>
        <v>17.040000000000003</v>
      </c>
      <c r="L58" s="42"/>
      <c r="AG58" s="40"/>
    </row>
    <row r="59" spans="1:33" x14ac:dyDescent="0.2">
      <c r="A59" s="40"/>
      <c r="B59" s="417" t="s">
        <v>478</v>
      </c>
      <c r="C59" s="95"/>
      <c r="D59" s="59"/>
      <c r="E59" s="7"/>
      <c r="F59" s="19" t="s">
        <v>190</v>
      </c>
      <c r="G59" s="7"/>
      <c r="H59" s="353">
        <f>'Machinery Costs'!D218</f>
        <v>12.641000000000002</v>
      </c>
      <c r="I59" s="7"/>
      <c r="J59" s="20">
        <f>H59</f>
        <v>12.641000000000002</v>
      </c>
      <c r="L59" s="42"/>
      <c r="AG59" s="40"/>
    </row>
    <row r="60" spans="1:33" x14ac:dyDescent="0.2">
      <c r="A60" s="40"/>
      <c r="B60" s="417" t="s">
        <v>479</v>
      </c>
      <c r="C60" s="95"/>
      <c r="D60" s="59"/>
      <c r="E60" s="7"/>
      <c r="F60" s="19" t="s">
        <v>190</v>
      </c>
      <c r="G60" s="7"/>
      <c r="H60" s="353">
        <f>'Machinery Costs'!E218</f>
        <v>5.0629999999999997</v>
      </c>
      <c r="I60" s="7"/>
      <c r="J60" s="20">
        <f>H60</f>
        <v>5.0629999999999997</v>
      </c>
      <c r="L60" s="42"/>
      <c r="AG60" s="40"/>
    </row>
    <row r="61" spans="1:33" x14ac:dyDescent="0.2">
      <c r="A61" s="40"/>
      <c r="B61" s="417" t="s">
        <v>422</v>
      </c>
      <c r="C61" s="95"/>
      <c r="D61" s="59"/>
      <c r="E61" s="7"/>
      <c r="F61" s="19" t="s">
        <v>190</v>
      </c>
      <c r="G61" s="7"/>
      <c r="H61" s="458">
        <v>51.75</v>
      </c>
      <c r="I61" s="7"/>
      <c r="J61" s="20">
        <f>H61</f>
        <v>51.75</v>
      </c>
    </row>
    <row r="62" spans="1:33" x14ac:dyDescent="0.2">
      <c r="A62" s="40"/>
      <c r="B62" s="18" t="s">
        <v>266</v>
      </c>
      <c r="C62" s="7"/>
      <c r="D62" s="7"/>
      <c r="E62" s="7"/>
      <c r="F62" s="19" t="s">
        <v>190</v>
      </c>
      <c r="G62" s="7"/>
      <c r="H62" s="79">
        <f>ROUND((D13*H13)*D64-(J20+J23+H47)*D64, 0)</f>
        <v>69</v>
      </c>
      <c r="I62" s="7"/>
      <c r="J62" s="20">
        <f>+H62</f>
        <v>69</v>
      </c>
    </row>
    <row r="63" spans="1:33" ht="12.75" customHeight="1" x14ac:dyDescent="0.2">
      <c r="A63" s="40"/>
      <c r="B63" s="7" t="s">
        <v>267</v>
      </c>
      <c r="C63" s="7"/>
      <c r="D63" s="44"/>
      <c r="E63" s="7"/>
      <c r="F63" s="8"/>
      <c r="G63" s="7"/>
      <c r="H63" s="93"/>
      <c r="I63" s="7"/>
      <c r="J63" s="20"/>
    </row>
    <row r="64" spans="1:33" ht="12.75" customHeight="1" x14ac:dyDescent="0.2">
      <c r="A64" s="40"/>
      <c r="B64" s="7" t="s">
        <v>268</v>
      </c>
      <c r="C64" s="7"/>
      <c r="D64" s="372">
        <v>0.25</v>
      </c>
      <c r="E64" s="7"/>
      <c r="F64" s="8"/>
      <c r="G64" s="7"/>
      <c r="H64" s="61"/>
      <c r="I64" s="7"/>
      <c r="J64" s="20"/>
    </row>
    <row r="65" spans="1:32" ht="12.75" customHeight="1" x14ac:dyDescent="0.2">
      <c r="A65" s="40"/>
      <c r="B65" s="7" t="s">
        <v>269</v>
      </c>
      <c r="C65" s="7"/>
      <c r="D65" s="372">
        <v>0.75</v>
      </c>
      <c r="E65" s="7"/>
      <c r="F65" s="8"/>
      <c r="G65" s="7"/>
      <c r="H65" s="61"/>
      <c r="I65" s="7"/>
      <c r="J65" s="20"/>
    </row>
    <row r="66" spans="1:32" x14ac:dyDescent="0.2">
      <c r="A66" s="40"/>
      <c r="B66" s="51"/>
      <c r="C66" s="51"/>
      <c r="D66" s="74"/>
      <c r="E66" s="51"/>
      <c r="F66" s="74"/>
      <c r="G66" s="7"/>
      <c r="H66" s="44"/>
      <c r="I66" s="7"/>
      <c r="J66" s="20"/>
    </row>
    <row r="67" spans="1:32" ht="14.25" x14ac:dyDescent="0.2">
      <c r="A67" s="40"/>
      <c r="B67" s="147" t="s">
        <v>61</v>
      </c>
      <c r="C67" s="7"/>
      <c r="D67" s="44"/>
      <c r="E67" s="7"/>
      <c r="F67" s="8"/>
      <c r="G67" s="7"/>
      <c r="H67" s="44"/>
      <c r="I67" s="7"/>
      <c r="J67" s="20">
        <f>ROUND(($J$17+$J$20+$J$23+$J$34+$J$41+$J$46)*oh, 0)</f>
        <v>4</v>
      </c>
    </row>
    <row r="68" spans="1:32" ht="14.25" x14ac:dyDescent="0.2">
      <c r="A68" s="197"/>
      <c r="B68" s="147" t="s">
        <v>330</v>
      </c>
      <c r="C68" s="94"/>
      <c r="D68" s="59"/>
      <c r="E68" s="7"/>
      <c r="F68" s="8"/>
      <c r="G68" s="7"/>
      <c r="H68" s="44"/>
      <c r="I68" s="7"/>
      <c r="J68" s="20">
        <f>ROUND(($J$13)*MF, 0)</f>
        <v>17</v>
      </c>
      <c r="K68" s="197"/>
      <c r="L68" s="197"/>
      <c r="M68" s="197"/>
      <c r="N68" s="197"/>
      <c r="O68" s="197"/>
      <c r="P68" s="197"/>
      <c r="Q68" s="197"/>
      <c r="R68" s="197"/>
      <c r="S68" s="197"/>
      <c r="T68" s="197"/>
      <c r="U68" s="197"/>
      <c r="V68" s="197"/>
      <c r="W68" s="197"/>
      <c r="X68" s="197"/>
      <c r="Y68" s="197"/>
      <c r="Z68" s="197"/>
      <c r="AA68" s="197"/>
      <c r="AB68" s="197"/>
      <c r="AC68" s="197"/>
      <c r="AD68" s="197"/>
      <c r="AE68" s="197"/>
      <c r="AF68" s="197"/>
    </row>
    <row r="69" spans="1:32" ht="5.25" customHeight="1" x14ac:dyDescent="0.2">
      <c r="A69" s="40"/>
      <c r="B69" s="7"/>
      <c r="C69" s="7"/>
      <c r="D69" s="44"/>
      <c r="E69" s="7"/>
      <c r="F69" s="8"/>
      <c r="G69" s="7"/>
      <c r="H69" s="44"/>
      <c r="I69" s="7"/>
      <c r="J69" s="20"/>
    </row>
    <row r="70" spans="1:32" x14ac:dyDescent="0.2">
      <c r="A70" s="40"/>
      <c r="B70" s="52" t="s">
        <v>230</v>
      </c>
      <c r="C70" s="52"/>
      <c r="D70" s="65"/>
      <c r="E70" s="52"/>
      <c r="F70" s="53"/>
      <c r="G70" s="52"/>
      <c r="H70" s="65"/>
      <c r="I70" s="52"/>
      <c r="J70" s="54">
        <f>SUM(J57:J68)</f>
        <v>176.494</v>
      </c>
    </row>
    <row r="71" spans="1:32" x14ac:dyDescent="0.2">
      <c r="A71" s="40"/>
      <c r="B71" s="7" t="s">
        <v>231</v>
      </c>
      <c r="C71" s="7"/>
      <c r="D71" s="44"/>
      <c r="E71" s="7"/>
      <c r="F71" s="8"/>
      <c r="G71" s="7"/>
      <c r="H71" s="44"/>
      <c r="I71" s="7"/>
      <c r="J71" s="20">
        <f>J70/D13</f>
        <v>0.1604490909090909</v>
      </c>
    </row>
    <row r="72" spans="1:32" x14ac:dyDescent="0.2">
      <c r="A72" s="40"/>
      <c r="B72" s="7"/>
      <c r="C72" s="7"/>
      <c r="D72" s="44"/>
      <c r="E72" s="7"/>
      <c r="F72" s="8"/>
      <c r="G72" s="7"/>
      <c r="H72" s="44"/>
      <c r="I72" s="7"/>
      <c r="J72" s="20"/>
    </row>
    <row r="73" spans="1:32" x14ac:dyDescent="0.2">
      <c r="A73" s="40"/>
      <c r="B73" s="52" t="s">
        <v>94</v>
      </c>
      <c r="C73" s="52"/>
      <c r="D73" s="65"/>
      <c r="E73" s="52"/>
      <c r="F73" s="53"/>
      <c r="G73" s="52"/>
      <c r="H73" s="65"/>
      <c r="I73" s="52"/>
      <c r="J73" s="54">
        <f>J53+J70</f>
        <v>321.2583055604631</v>
      </c>
    </row>
    <row r="74" spans="1:32" s="50" customFormat="1" x14ac:dyDescent="0.2">
      <c r="A74" s="68"/>
      <c r="B74" s="69" t="s">
        <v>95</v>
      </c>
      <c r="C74" s="69"/>
      <c r="D74" s="75"/>
      <c r="E74" s="69"/>
      <c r="F74" s="70"/>
      <c r="G74" s="69"/>
      <c r="H74" s="75"/>
      <c r="I74" s="69"/>
      <c r="J74" s="71">
        <f>J73/D13</f>
        <v>0.29205300505496645</v>
      </c>
      <c r="K74" s="68"/>
      <c r="L74" s="68"/>
      <c r="M74" s="68"/>
      <c r="N74" s="68"/>
      <c r="O74" s="68"/>
      <c r="P74" s="68"/>
      <c r="Q74" s="68"/>
      <c r="R74" s="68"/>
      <c r="S74" s="68"/>
      <c r="T74" s="68"/>
      <c r="U74" s="68"/>
      <c r="V74" s="68"/>
      <c r="W74" s="68"/>
      <c r="X74" s="68"/>
      <c r="Y74" s="68"/>
      <c r="Z74" s="68"/>
      <c r="AA74" s="68"/>
      <c r="AB74" s="68"/>
      <c r="AC74" s="68"/>
      <c r="AD74" s="68"/>
      <c r="AE74" s="68"/>
      <c r="AF74" s="68"/>
    </row>
    <row r="75" spans="1:32" x14ac:dyDescent="0.2">
      <c r="A75" s="40"/>
      <c r="B75" s="7"/>
      <c r="C75" s="7"/>
      <c r="D75" s="44"/>
      <c r="E75" s="7"/>
      <c r="F75" s="8"/>
      <c r="G75" s="7"/>
      <c r="H75" s="44"/>
      <c r="I75" s="7"/>
      <c r="J75" s="20"/>
    </row>
    <row r="76" spans="1:32" s="47" customFormat="1" x14ac:dyDescent="0.2">
      <c r="A76" s="46"/>
      <c r="B76" s="52" t="s">
        <v>96</v>
      </c>
      <c r="C76" s="52"/>
      <c r="D76" s="65"/>
      <c r="E76" s="52"/>
      <c r="F76" s="53"/>
      <c r="G76" s="52"/>
      <c r="H76" s="65"/>
      <c r="I76" s="52"/>
      <c r="J76" s="54">
        <f>J13-J73</f>
        <v>11.27169443953693</v>
      </c>
      <c r="K76" s="46"/>
      <c r="L76" s="46"/>
      <c r="M76" s="46"/>
      <c r="N76" s="46"/>
      <c r="O76" s="46"/>
      <c r="P76" s="46"/>
      <c r="Q76" s="46"/>
      <c r="R76" s="46"/>
      <c r="S76" s="46"/>
      <c r="T76" s="46"/>
      <c r="U76" s="46"/>
      <c r="V76" s="46"/>
      <c r="W76" s="46"/>
      <c r="X76" s="46"/>
      <c r="Y76" s="46"/>
      <c r="Z76" s="46"/>
      <c r="AA76" s="46"/>
      <c r="AB76" s="46"/>
      <c r="AC76" s="46"/>
      <c r="AD76" s="46"/>
      <c r="AE76" s="46"/>
      <c r="AF76" s="46"/>
    </row>
    <row r="77" spans="1:32" x14ac:dyDescent="0.2">
      <c r="A77" s="40"/>
      <c r="B77" s="3"/>
      <c r="C77" s="3"/>
      <c r="D77" s="2"/>
      <c r="E77" s="3"/>
      <c r="F77" s="4"/>
      <c r="G77" s="3"/>
      <c r="H77" s="2"/>
      <c r="I77" s="3"/>
      <c r="J77" s="5"/>
    </row>
    <row r="78" spans="1:32" x14ac:dyDescent="0.2">
      <c r="A78" s="40"/>
      <c r="B78" s="56" t="s">
        <v>97</v>
      </c>
      <c r="C78" s="56"/>
      <c r="D78" s="76"/>
      <c r="E78" s="56"/>
      <c r="F78" s="57"/>
      <c r="G78" s="56"/>
      <c r="H78" s="76"/>
      <c r="I78" s="56"/>
      <c r="J78" s="56"/>
    </row>
    <row r="79" spans="1:32" s="457" customFormat="1" ht="15.6" customHeight="1" x14ac:dyDescent="0.2">
      <c r="B79" s="563" t="s">
        <v>466</v>
      </c>
      <c r="C79" s="563"/>
      <c r="D79" s="563"/>
      <c r="E79" s="563"/>
      <c r="F79" s="563"/>
      <c r="G79" s="563"/>
      <c r="H79" s="563"/>
      <c r="I79" s="563"/>
      <c r="J79" s="563"/>
    </row>
    <row r="80" spans="1:32" s="197" customFormat="1" ht="16.5" customHeight="1" x14ac:dyDescent="0.2">
      <c r="B80" s="563" t="s">
        <v>338</v>
      </c>
      <c r="C80" s="563"/>
      <c r="D80" s="563"/>
      <c r="E80" s="563"/>
      <c r="F80" s="563"/>
      <c r="G80" s="563"/>
      <c r="H80" s="563"/>
      <c r="I80" s="563"/>
      <c r="J80" s="563"/>
    </row>
    <row r="81" spans="1:10" s="197" customFormat="1" ht="30" customHeight="1" x14ac:dyDescent="0.2">
      <c r="B81" s="568" t="s">
        <v>339</v>
      </c>
      <c r="C81" s="569"/>
      <c r="D81" s="569"/>
      <c r="E81" s="569"/>
      <c r="F81" s="569"/>
      <c r="G81" s="569"/>
      <c r="H81" s="569"/>
      <c r="I81" s="569"/>
      <c r="J81" s="569"/>
    </row>
    <row r="82" spans="1:10" ht="15" customHeight="1" x14ac:dyDescent="0.2">
      <c r="A82" s="40"/>
      <c r="B82" s="562"/>
      <c r="C82" s="562"/>
      <c r="D82" s="562"/>
      <c r="E82" s="562"/>
      <c r="F82" s="562"/>
      <c r="G82" s="562"/>
      <c r="H82" s="562"/>
      <c r="I82" s="562"/>
      <c r="J82" s="562"/>
    </row>
    <row r="83" spans="1:10" x14ac:dyDescent="0.2">
      <c r="A83" s="40"/>
      <c r="B83" s="7"/>
      <c r="C83" s="7"/>
      <c r="D83" s="44"/>
      <c r="E83" s="7"/>
      <c r="F83" s="8"/>
      <c r="G83" s="7"/>
      <c r="H83" s="44"/>
      <c r="I83" s="7"/>
      <c r="J83" s="7"/>
    </row>
    <row r="84" spans="1:10" x14ac:dyDescent="0.2">
      <c r="A84" s="40"/>
      <c r="B84" s="22" t="s">
        <v>98</v>
      </c>
      <c r="C84" s="7"/>
      <c r="D84" s="23" t="s">
        <v>99</v>
      </c>
      <c r="E84" s="7"/>
      <c r="F84" s="8"/>
      <c r="G84" s="7"/>
      <c r="H84" s="23" t="s">
        <v>101</v>
      </c>
      <c r="I84" s="7"/>
      <c r="J84" s="7"/>
    </row>
    <row r="85" spans="1:10" x14ac:dyDescent="0.2">
      <c r="A85" s="40"/>
      <c r="B85" s="7"/>
      <c r="C85" s="7"/>
      <c r="D85" s="24">
        <v>0.1</v>
      </c>
      <c r="E85" s="7"/>
      <c r="F85" s="8" t="s">
        <v>100</v>
      </c>
      <c r="G85" s="7"/>
      <c r="H85" s="24">
        <v>0.1</v>
      </c>
      <c r="I85" s="7"/>
      <c r="J85" s="7"/>
    </row>
    <row r="86" spans="1:10" x14ac:dyDescent="0.2">
      <c r="A86" s="40"/>
      <c r="B86" s="7"/>
      <c r="C86" s="7"/>
      <c r="D86" s="25"/>
      <c r="E86" s="3"/>
      <c r="F86" s="2" t="s">
        <v>102</v>
      </c>
      <c r="G86" s="3"/>
      <c r="H86" s="25"/>
      <c r="I86" s="7"/>
      <c r="J86" s="7"/>
    </row>
    <row r="87" spans="1:10" x14ac:dyDescent="0.2">
      <c r="A87" s="40"/>
      <c r="B87" s="26" t="s">
        <v>169</v>
      </c>
      <c r="C87" s="7"/>
      <c r="D87" s="151">
        <f>F87*(1-D85)</f>
        <v>990</v>
      </c>
      <c r="E87" s="27"/>
      <c r="F87" s="28">
        <f>D13</f>
        <v>1100</v>
      </c>
      <c r="G87" s="27"/>
      <c r="H87" s="78">
        <f>F87*(1+H85)</f>
        <v>1210</v>
      </c>
      <c r="I87" s="7"/>
      <c r="J87" s="7"/>
    </row>
    <row r="88" spans="1:10" ht="4.5" customHeight="1" x14ac:dyDescent="0.2">
      <c r="A88" s="40"/>
      <c r="B88" s="7"/>
      <c r="C88" s="7"/>
      <c r="D88" s="44"/>
      <c r="E88" s="7"/>
      <c r="F88" s="8"/>
      <c r="G88" s="7"/>
      <c r="H88" s="44"/>
      <c r="I88" s="7"/>
      <c r="J88" s="7"/>
    </row>
    <row r="89" spans="1:10" x14ac:dyDescent="0.2">
      <c r="A89" s="40"/>
      <c r="B89" s="7" t="s">
        <v>170</v>
      </c>
      <c r="C89" s="7"/>
      <c r="D89" s="29">
        <f>$J$53/D87</f>
        <v>0.14622657127319508</v>
      </c>
      <c r="E89" s="7"/>
      <c r="F89" s="29">
        <f>$J$53/F87</f>
        <v>0.13160391414587558</v>
      </c>
      <c r="G89" s="7"/>
      <c r="H89" s="29">
        <f>$J$53/H87</f>
        <v>0.11963992195079598</v>
      </c>
      <c r="I89" s="7"/>
      <c r="J89" s="7"/>
    </row>
    <row r="90" spans="1:10" ht="4.5" customHeight="1" x14ac:dyDescent="0.2">
      <c r="A90" s="40"/>
      <c r="B90" s="7"/>
      <c r="C90" s="7"/>
      <c r="D90" s="44"/>
      <c r="E90" s="7"/>
      <c r="F90" s="8"/>
      <c r="G90" s="7"/>
      <c r="H90" s="44"/>
      <c r="I90" s="7"/>
      <c r="J90" s="7"/>
    </row>
    <row r="91" spans="1:10" x14ac:dyDescent="0.2">
      <c r="A91" s="40"/>
      <c r="B91" s="7" t="s">
        <v>171</v>
      </c>
      <c r="C91" s="7"/>
      <c r="D91" s="29">
        <f>$J$70/D87</f>
        <v>0.17827676767676767</v>
      </c>
      <c r="E91" s="7"/>
      <c r="F91" s="29">
        <f>$J$70/F87</f>
        <v>0.1604490909090909</v>
      </c>
      <c r="G91" s="7"/>
      <c r="H91" s="29">
        <f>$J$70/H87</f>
        <v>0.14586280991735537</v>
      </c>
      <c r="I91" s="7"/>
      <c r="J91" s="7"/>
    </row>
    <row r="92" spans="1:10" ht="3.75" customHeight="1" x14ac:dyDescent="0.2">
      <c r="A92" s="40"/>
      <c r="B92" s="7"/>
      <c r="C92" s="7"/>
      <c r="D92" s="44"/>
      <c r="E92" s="7"/>
      <c r="F92" s="8"/>
      <c r="G92" s="7"/>
      <c r="H92" s="44"/>
      <c r="I92" s="7"/>
      <c r="J92" s="7"/>
    </row>
    <row r="93" spans="1:10" x14ac:dyDescent="0.2">
      <c r="A93" s="40"/>
      <c r="B93" s="7" t="s">
        <v>188</v>
      </c>
      <c r="C93" s="7"/>
      <c r="D93" s="29">
        <f>$J$73/D87</f>
        <v>0.32450333894996275</v>
      </c>
      <c r="E93" s="7"/>
      <c r="F93" s="29">
        <f>$J$73/F87</f>
        <v>0.29205300505496645</v>
      </c>
      <c r="G93" s="7"/>
      <c r="H93" s="29">
        <f>$J$73/H87</f>
        <v>0.26550273186815132</v>
      </c>
      <c r="I93" s="7"/>
      <c r="J93" s="7"/>
    </row>
    <row r="94" spans="1:10" ht="5.25" customHeight="1" x14ac:dyDescent="0.2">
      <c r="A94" s="40"/>
      <c r="B94" s="11"/>
      <c r="C94" s="11"/>
      <c r="D94" s="72"/>
      <c r="E94" s="11"/>
      <c r="F94" s="15"/>
      <c r="G94" s="11"/>
      <c r="H94" s="72"/>
      <c r="I94" s="11"/>
      <c r="J94" s="11"/>
    </row>
    <row r="95" spans="1:10" ht="12.75" customHeight="1" x14ac:dyDescent="0.2">
      <c r="A95" s="40"/>
      <c r="B95" s="11"/>
      <c r="C95" s="11"/>
      <c r="D95" s="23" t="s">
        <v>99</v>
      </c>
      <c r="E95" s="7"/>
      <c r="F95" s="8"/>
      <c r="G95" s="7"/>
      <c r="H95" s="23" t="s">
        <v>101</v>
      </c>
      <c r="I95" s="11"/>
      <c r="J95" s="11"/>
    </row>
    <row r="96" spans="1:10" x14ac:dyDescent="0.2">
      <c r="A96" s="40"/>
      <c r="B96" s="7"/>
      <c r="C96" s="7"/>
      <c r="D96" s="24">
        <v>0.1</v>
      </c>
      <c r="E96" s="7"/>
      <c r="F96" s="8" t="s">
        <v>100</v>
      </c>
      <c r="G96" s="7"/>
      <c r="H96" s="24">
        <v>0.1</v>
      </c>
      <c r="I96" s="7"/>
      <c r="J96" s="7"/>
    </row>
    <row r="97" spans="1:10" x14ac:dyDescent="0.2">
      <c r="A97" s="40"/>
      <c r="B97" s="7"/>
      <c r="C97" s="7"/>
      <c r="D97" s="2"/>
      <c r="E97" s="3"/>
      <c r="F97" s="4" t="s">
        <v>169</v>
      </c>
      <c r="G97" s="3"/>
      <c r="H97" s="2"/>
      <c r="I97" s="7"/>
      <c r="J97" s="7"/>
    </row>
    <row r="98" spans="1:10" x14ac:dyDescent="0.2">
      <c r="A98" s="40"/>
      <c r="B98" s="26" t="s">
        <v>102</v>
      </c>
      <c r="C98" s="7"/>
      <c r="D98" s="30">
        <f>F98*(1-D85)</f>
        <v>0.27207000000000003</v>
      </c>
      <c r="E98" s="27"/>
      <c r="F98" s="31">
        <f>H13</f>
        <v>0.30230000000000001</v>
      </c>
      <c r="G98" s="27"/>
      <c r="H98" s="30">
        <f>F98*(1+H85)</f>
        <v>0.33253000000000005</v>
      </c>
      <c r="I98" s="7"/>
      <c r="J98" s="7"/>
    </row>
    <row r="99" spans="1:10" ht="4.5" customHeight="1" x14ac:dyDescent="0.2">
      <c r="A99" s="40"/>
      <c r="B99" s="7"/>
      <c r="C99" s="7"/>
      <c r="D99" s="44"/>
      <c r="E99" s="7"/>
      <c r="F99" s="8"/>
      <c r="G99" s="7"/>
      <c r="H99" s="44"/>
      <c r="I99" s="7"/>
      <c r="J99" s="7"/>
    </row>
    <row r="100" spans="1:10" x14ac:dyDescent="0.2">
      <c r="A100" s="40"/>
      <c r="B100" s="7" t="s">
        <v>170</v>
      </c>
      <c r="C100" s="7"/>
      <c r="D100" s="32">
        <f>$J$53/D98</f>
        <v>532.08477803676669</v>
      </c>
      <c r="E100" s="7"/>
      <c r="F100" s="32">
        <f>$J$53/F98</f>
        <v>478.87630023309003</v>
      </c>
      <c r="G100" s="7"/>
      <c r="H100" s="32">
        <f>$J$53/H98</f>
        <v>435.34209112099091</v>
      </c>
      <c r="I100" s="7"/>
      <c r="J100" s="7"/>
    </row>
    <row r="101" spans="1:10" ht="3" customHeight="1" x14ac:dyDescent="0.2">
      <c r="A101" s="40"/>
      <c r="B101" s="7"/>
      <c r="C101" s="7"/>
      <c r="D101" s="44"/>
      <c r="E101" s="7"/>
      <c r="F101" s="8"/>
      <c r="G101" s="7"/>
      <c r="H101" s="44"/>
      <c r="I101" s="7"/>
      <c r="J101" s="7"/>
    </row>
    <row r="102" spans="1:10" x14ac:dyDescent="0.2">
      <c r="A102" s="40"/>
      <c r="B102" s="7" t="s">
        <v>171</v>
      </c>
      <c r="C102" s="7"/>
      <c r="D102" s="32">
        <f>$J$70/D98</f>
        <v>648.70805307457636</v>
      </c>
      <c r="E102" s="7"/>
      <c r="F102" s="32">
        <f>$J$70/F98</f>
        <v>583.8372477671187</v>
      </c>
      <c r="G102" s="7"/>
      <c r="H102" s="32">
        <f>$J$70/H98</f>
        <v>530.76113433374428</v>
      </c>
      <c r="I102" s="7"/>
      <c r="J102" s="7"/>
    </row>
    <row r="103" spans="1:10" ht="3.75" customHeight="1" x14ac:dyDescent="0.2">
      <c r="A103" s="40"/>
      <c r="B103" s="7"/>
      <c r="C103" s="7"/>
      <c r="D103" s="44"/>
      <c r="E103" s="7"/>
      <c r="F103" s="8"/>
      <c r="G103" s="7"/>
      <c r="H103" s="44"/>
      <c r="I103" s="7"/>
      <c r="J103" s="7"/>
    </row>
    <row r="104" spans="1:10" x14ac:dyDescent="0.2">
      <c r="A104" s="40"/>
      <c r="B104" s="7" t="s">
        <v>188</v>
      </c>
      <c r="C104" s="7"/>
      <c r="D104" s="32">
        <f>$J$73/D98</f>
        <v>1180.7928311113428</v>
      </c>
      <c r="E104" s="7"/>
      <c r="F104" s="32">
        <f>$J$73/F98</f>
        <v>1062.7135480002087</v>
      </c>
      <c r="G104" s="7"/>
      <c r="H104" s="32">
        <f>$J$73/H98</f>
        <v>966.10322545473502</v>
      </c>
      <c r="I104" s="7"/>
      <c r="J104" s="7"/>
    </row>
    <row r="105" spans="1:10" ht="5.25" customHeight="1" x14ac:dyDescent="0.2">
      <c r="A105" s="40"/>
      <c r="B105" s="7"/>
      <c r="C105" s="7"/>
      <c r="D105" s="44"/>
      <c r="E105" s="7"/>
      <c r="F105" s="8"/>
      <c r="G105" s="7"/>
      <c r="H105" s="44"/>
      <c r="I105" s="7"/>
      <c r="J105" s="7"/>
    </row>
    <row r="106" spans="1:10" x14ac:dyDescent="0.2">
      <c r="A106" s="40"/>
      <c r="B106" s="40"/>
      <c r="C106" s="40"/>
      <c r="D106" s="58"/>
      <c r="E106" s="40"/>
      <c r="F106" s="41"/>
      <c r="G106" s="40"/>
      <c r="H106" s="58"/>
      <c r="I106" s="40"/>
      <c r="J106" s="40"/>
    </row>
    <row r="107" spans="1:10" x14ac:dyDescent="0.2">
      <c r="A107" s="40"/>
      <c r="B107" s="40"/>
      <c r="C107" s="40"/>
      <c r="D107" s="58"/>
      <c r="E107" s="40"/>
      <c r="F107" s="41"/>
      <c r="G107" s="40"/>
      <c r="H107" s="58"/>
      <c r="I107" s="40"/>
      <c r="J107" s="40"/>
    </row>
    <row r="108" spans="1:10" x14ac:dyDescent="0.2">
      <c r="A108" s="40"/>
      <c r="B108" s="40"/>
      <c r="C108" s="40"/>
      <c r="D108" s="58"/>
      <c r="E108" s="40"/>
      <c r="F108" s="41"/>
      <c r="G108" s="40"/>
      <c r="H108" s="58"/>
      <c r="I108" s="40"/>
      <c r="J108" s="40"/>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sheetData>
  <customSheetViews>
    <customSheetView guid="{5519EDA0-AC19-11DC-BDFC-0017F2D6B148}" showPageBreaks="1" view="pageLayout">
      <selection activeCell="J26" sqref="J26"/>
      <pageMargins left="0.25" right="0.25" top="0.25" bottom="1" header="0.5" footer="0.5"/>
      <pageSetup paperSize="0" orientation="portrait" horizontalDpi="4294967292" verticalDpi="4294967292"/>
      <headerFooter alignWithMargins="0"/>
    </customSheetView>
  </customSheetViews>
  <mergeCells count="7">
    <mergeCell ref="B2:J2"/>
    <mergeCell ref="B5:J5"/>
    <mergeCell ref="B81:J81"/>
    <mergeCell ref="B82:J82"/>
    <mergeCell ref="B7:J7"/>
    <mergeCell ref="B79:J79"/>
    <mergeCell ref="B80:J80"/>
  </mergeCells>
  <phoneticPr fontId="7"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6" min="1" max="9" man="1"/>
  </rowBreaks>
  <ignoredErrors>
    <ignoredError sqref="J21 J39 J44 J48 J53"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zoomScaleNormal="100" workbookViewId="0">
      <selection activeCell="B3" sqref="B3"/>
    </sheetView>
  </sheetViews>
  <sheetFormatPr defaultColWidth="11.42578125" defaultRowHeight="12.75" x14ac:dyDescent="0.2"/>
  <cols>
    <col min="1" max="1" width="2.85546875" style="40" customWidth="1"/>
    <col min="2" max="2" width="11" customWidth="1"/>
    <col min="3" max="3" width="20.140625" customWidth="1"/>
    <col min="4" max="4" width="27.140625" customWidth="1"/>
    <col min="5" max="5" width="39.42578125" customWidth="1"/>
    <col min="6" max="11" width="11.42578125" style="40" customWidth="1"/>
  </cols>
  <sheetData>
    <row r="1" spans="2:5" ht="15" customHeight="1" x14ac:dyDescent="0.2">
      <c r="B1" s="40"/>
      <c r="C1" s="40"/>
      <c r="D1" s="40"/>
      <c r="E1" s="40"/>
    </row>
    <row r="2" spans="2:5" ht="35.25" customHeight="1" x14ac:dyDescent="0.25">
      <c r="B2" s="571" t="s">
        <v>534</v>
      </c>
      <c r="C2" s="578"/>
      <c r="D2" s="578"/>
      <c r="E2" s="578"/>
    </row>
    <row r="3" spans="2:5" ht="6" customHeight="1" x14ac:dyDescent="0.25">
      <c r="B3" s="180"/>
      <c r="C3" s="175"/>
      <c r="D3" s="175"/>
      <c r="E3" s="175"/>
    </row>
    <row r="4" spans="2:5" ht="33" customHeight="1" x14ac:dyDescent="0.2">
      <c r="B4" s="183" t="s">
        <v>287</v>
      </c>
      <c r="C4" s="183" t="s">
        <v>289</v>
      </c>
      <c r="D4" s="183" t="s">
        <v>291</v>
      </c>
      <c r="E4" s="183" t="s">
        <v>292</v>
      </c>
    </row>
    <row r="5" spans="2:5" x14ac:dyDescent="0.2">
      <c r="B5" s="449"/>
      <c r="C5" s="449"/>
      <c r="D5" s="449"/>
      <c r="E5" s="449"/>
    </row>
    <row r="6" spans="2:5" x14ac:dyDescent="0.2">
      <c r="B6" s="450" t="s">
        <v>271</v>
      </c>
      <c r="C6" s="450" t="s">
        <v>272</v>
      </c>
      <c r="D6" s="450" t="s">
        <v>20</v>
      </c>
      <c r="E6" s="450"/>
    </row>
    <row r="7" spans="2:5" x14ac:dyDescent="0.2">
      <c r="B7" s="446"/>
      <c r="C7" s="446"/>
      <c r="D7" s="446"/>
      <c r="E7" s="446"/>
    </row>
    <row r="8" spans="2:5" x14ac:dyDescent="0.2">
      <c r="B8" s="446" t="s">
        <v>154</v>
      </c>
      <c r="C8" s="446" t="s">
        <v>272</v>
      </c>
      <c r="D8" s="446" t="s">
        <v>21</v>
      </c>
      <c r="E8" s="446"/>
    </row>
    <row r="9" spans="2:5" x14ac:dyDescent="0.2">
      <c r="B9" s="449"/>
      <c r="C9" s="449"/>
      <c r="D9" s="449" t="s">
        <v>26</v>
      </c>
      <c r="E9" s="449"/>
    </row>
    <row r="10" spans="2:5" x14ac:dyDescent="0.2">
      <c r="B10" s="450" t="s">
        <v>154</v>
      </c>
      <c r="C10" s="450" t="s">
        <v>260</v>
      </c>
      <c r="D10" s="450" t="s">
        <v>272</v>
      </c>
      <c r="E10" s="450"/>
    </row>
    <row r="11" spans="2:5" x14ac:dyDescent="0.2">
      <c r="B11" s="446"/>
      <c r="C11" s="446"/>
      <c r="D11" s="446" t="s">
        <v>27</v>
      </c>
      <c r="E11" s="446"/>
    </row>
    <row r="12" spans="2:5" x14ac:dyDescent="0.2">
      <c r="B12" s="445" t="s">
        <v>154</v>
      </c>
      <c r="C12" s="445" t="s">
        <v>117</v>
      </c>
      <c r="D12" s="448" t="s">
        <v>272</v>
      </c>
      <c r="E12" s="445"/>
    </row>
    <row r="13" spans="2:5" x14ac:dyDescent="0.2">
      <c r="B13" s="452"/>
      <c r="C13" s="452"/>
      <c r="D13" s="452"/>
      <c r="E13" s="453" t="s">
        <v>452</v>
      </c>
    </row>
    <row r="14" spans="2:5" x14ac:dyDescent="0.2">
      <c r="B14" s="453" t="s">
        <v>154</v>
      </c>
      <c r="C14" s="453" t="s">
        <v>420</v>
      </c>
      <c r="D14" s="453" t="s">
        <v>449</v>
      </c>
      <c r="E14" s="452" t="s">
        <v>127</v>
      </c>
    </row>
    <row r="15" spans="2:5" x14ac:dyDescent="0.2">
      <c r="B15" s="444"/>
      <c r="C15" s="444"/>
      <c r="D15" s="444"/>
      <c r="E15" s="444"/>
    </row>
    <row r="16" spans="2:5" x14ac:dyDescent="0.2">
      <c r="B16" s="445" t="s">
        <v>275</v>
      </c>
      <c r="C16" s="445" t="s">
        <v>241</v>
      </c>
      <c r="D16" s="445" t="s">
        <v>62</v>
      </c>
      <c r="E16" s="445" t="s">
        <v>129</v>
      </c>
    </row>
    <row r="17" spans="2:5" x14ac:dyDescent="0.2">
      <c r="B17" s="449"/>
      <c r="C17" s="449"/>
      <c r="D17" s="449"/>
      <c r="E17" s="449"/>
    </row>
    <row r="18" spans="2:5" x14ac:dyDescent="0.2">
      <c r="B18" s="450" t="s">
        <v>275</v>
      </c>
      <c r="C18" s="450" t="s">
        <v>155</v>
      </c>
      <c r="D18" s="450"/>
      <c r="E18" s="450"/>
    </row>
    <row r="19" spans="2:5" x14ac:dyDescent="0.2">
      <c r="B19" s="444"/>
      <c r="C19" s="444"/>
      <c r="D19" s="444"/>
      <c r="E19" s="444"/>
    </row>
    <row r="20" spans="2:5" x14ac:dyDescent="0.2">
      <c r="B20" s="445" t="s">
        <v>213</v>
      </c>
      <c r="C20" s="445" t="s">
        <v>118</v>
      </c>
      <c r="D20" s="445" t="s">
        <v>352</v>
      </c>
      <c r="E20" s="445" t="s">
        <v>63</v>
      </c>
    </row>
    <row r="21" spans="2:5" ht="12" customHeight="1" x14ac:dyDescent="0.2">
      <c r="B21" s="449"/>
      <c r="C21" s="449"/>
      <c r="D21" s="449"/>
      <c r="E21" s="449"/>
    </row>
    <row r="22" spans="2:5" ht="12" customHeight="1" x14ac:dyDescent="0.2">
      <c r="B22" s="450" t="s">
        <v>288</v>
      </c>
      <c r="C22" s="450" t="s">
        <v>293</v>
      </c>
      <c r="D22" s="450" t="s">
        <v>28</v>
      </c>
      <c r="E22" s="45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sheetData>
  <customSheetViews>
    <customSheetView guid="{5519EDA0-AC19-11DC-BDFC-0017F2D6B148}" showPageBreaks="1" view="pageLayout">
      <selection activeCell="D27" sqref="D27"/>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93" orientation="portrait" r:id="rId1"/>
  <headerFooter alignWithMargins="0">
    <oddFooter>&amp;L&amp;A&amp;C&amp;F&amp;R&amp;D</oddFooter>
  </headerFooter>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9"/>
  <sheetViews>
    <sheetView zoomScaleNormal="100" workbookViewId="0">
      <selection activeCell="B8" sqref="B8"/>
    </sheetView>
  </sheetViews>
  <sheetFormatPr defaultColWidth="8.7109375" defaultRowHeight="12.75" x14ac:dyDescent="0.2"/>
  <cols>
    <col min="1" max="1" width="3.140625" customWidth="1"/>
    <col min="2" max="2" width="29"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74"/>
      <c r="B1" s="327" t="s">
        <v>49</v>
      </c>
      <c r="C1" s="56"/>
      <c r="D1" s="76"/>
      <c r="E1" s="56"/>
      <c r="F1" s="57"/>
      <c r="G1" s="56"/>
      <c r="H1" s="76"/>
      <c r="I1" s="56"/>
      <c r="J1" s="56"/>
    </row>
    <row r="2" spans="1:44" s="40" customFormat="1" x14ac:dyDescent="0.2">
      <c r="A2" s="374"/>
      <c r="B2" s="575" t="s">
        <v>383</v>
      </c>
      <c r="C2" s="575"/>
      <c r="D2" s="575"/>
      <c r="E2" s="575"/>
      <c r="F2" s="575"/>
      <c r="G2" s="575"/>
      <c r="H2" s="575"/>
      <c r="I2" s="575"/>
      <c r="J2" s="575"/>
    </row>
    <row r="3" spans="1:44" s="81" customFormat="1" ht="14.25" x14ac:dyDescent="0.2">
      <c r="A3" s="188"/>
      <c r="B3" s="375" t="s">
        <v>380</v>
      </c>
      <c r="C3" s="376"/>
      <c r="D3" s="376"/>
      <c r="E3" s="376"/>
      <c r="F3" s="376"/>
      <c r="G3" s="376"/>
      <c r="H3" s="376"/>
      <c r="I3" s="376"/>
      <c r="J3" s="377"/>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row>
    <row r="4" spans="1:44" s="40" customFormat="1" x14ac:dyDescent="0.2">
      <c r="A4" s="321"/>
      <c r="B4" s="378" t="s">
        <v>387</v>
      </c>
      <c r="C4" s="378"/>
      <c r="D4" s="378"/>
      <c r="E4" s="378"/>
      <c r="F4" s="378"/>
      <c r="G4" s="378"/>
      <c r="H4" s="378"/>
      <c r="I4" s="378"/>
      <c r="J4" s="378"/>
    </row>
    <row r="5" spans="1:44" s="40" customFormat="1" x14ac:dyDescent="0.2">
      <c r="A5" s="321"/>
      <c r="B5" s="561" t="s">
        <v>386</v>
      </c>
      <c r="C5" s="561"/>
      <c r="D5" s="561"/>
      <c r="E5" s="561"/>
      <c r="F5" s="561"/>
      <c r="G5" s="561"/>
      <c r="H5" s="561"/>
      <c r="I5" s="561"/>
      <c r="J5" s="561"/>
    </row>
    <row r="6" spans="1:44" s="40" customFormat="1" ht="5.25" customHeight="1" x14ac:dyDescent="0.2">
      <c r="B6" s="188"/>
      <c r="C6" s="188"/>
      <c r="D6" s="188"/>
      <c r="E6" s="188"/>
      <c r="F6" s="188"/>
      <c r="G6" s="188"/>
      <c r="H6" s="188"/>
      <c r="I6" s="188"/>
      <c r="J6" s="188"/>
    </row>
    <row r="7" spans="1:44" s="92" customFormat="1" ht="23.25" customHeight="1" x14ac:dyDescent="0.25">
      <c r="A7" s="91"/>
      <c r="B7" s="580" t="s">
        <v>535</v>
      </c>
      <c r="C7" s="578"/>
      <c r="D7" s="578"/>
      <c r="E7" s="578"/>
      <c r="F7" s="578"/>
      <c r="G7" s="578"/>
      <c r="H7" s="578"/>
      <c r="I7" s="578"/>
      <c r="J7" s="578"/>
      <c r="K7" s="91"/>
      <c r="L7" s="91"/>
      <c r="M7" s="91"/>
      <c r="N7" s="91"/>
      <c r="O7" s="91"/>
      <c r="P7" s="91"/>
      <c r="Q7" s="91"/>
      <c r="R7" s="91"/>
      <c r="S7" s="91"/>
      <c r="T7" s="91"/>
      <c r="U7" s="91"/>
      <c r="V7" s="91"/>
      <c r="W7" s="91"/>
      <c r="X7" s="91"/>
      <c r="Y7" s="91"/>
      <c r="Z7" s="91"/>
      <c r="AA7" s="91"/>
      <c r="AB7" s="91"/>
      <c r="AC7" s="91"/>
      <c r="AD7" s="91"/>
      <c r="AE7" s="91"/>
      <c r="AF7" s="91"/>
    </row>
    <row r="8" spans="1:44" s="89" customFormat="1" ht="3.75" customHeight="1" x14ac:dyDescent="0.2">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249</v>
      </c>
      <c r="E9" s="83"/>
      <c r="F9" s="84"/>
      <c r="G9" s="83"/>
      <c r="H9" s="83" t="s">
        <v>250</v>
      </c>
      <c r="I9" s="83"/>
      <c r="J9" s="85" t="s">
        <v>251</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252</v>
      </c>
      <c r="C10" s="220"/>
      <c r="D10" s="87" t="s">
        <v>156</v>
      </c>
      <c r="E10" s="87"/>
      <c r="F10" s="221" t="s">
        <v>157</v>
      </c>
      <c r="G10" s="87"/>
      <c r="H10" s="87" t="s">
        <v>5</v>
      </c>
      <c r="I10" s="87"/>
      <c r="J10" s="222" t="s">
        <v>198</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199</v>
      </c>
      <c r="C12" s="7"/>
      <c r="D12" s="44"/>
      <c r="E12" s="7"/>
      <c r="F12" s="8"/>
      <c r="G12" s="7"/>
      <c r="H12" s="44"/>
      <c r="I12" s="7"/>
      <c r="J12" s="9"/>
    </row>
    <row r="13" spans="1:44" x14ac:dyDescent="0.2">
      <c r="A13" s="40"/>
      <c r="B13" s="10" t="s">
        <v>211</v>
      </c>
      <c r="C13" s="11"/>
      <c r="D13" s="363">
        <f>+Summary!$D$23</f>
        <v>1200</v>
      </c>
      <c r="E13" s="11"/>
      <c r="F13" s="12" t="s">
        <v>189</v>
      </c>
      <c r="G13" s="11"/>
      <c r="H13" s="364">
        <f>+Summary!$E$23</f>
        <v>0.32</v>
      </c>
      <c r="I13" s="11"/>
      <c r="J13" s="13">
        <f>D13*H13</f>
        <v>384</v>
      </c>
      <c r="L13" s="48"/>
      <c r="M13" s="48"/>
      <c r="N13" s="48"/>
      <c r="O13" s="48"/>
      <c r="P13" s="48"/>
    </row>
    <row r="14" spans="1:44" ht="4.5" customHeight="1" x14ac:dyDescent="0.2">
      <c r="A14" s="40"/>
      <c r="B14" s="11"/>
      <c r="C14" s="11"/>
      <c r="D14" s="72"/>
      <c r="E14" s="11"/>
      <c r="F14" s="15"/>
      <c r="G14" s="11"/>
      <c r="H14" s="77"/>
      <c r="I14" s="11"/>
      <c r="J14" s="13"/>
    </row>
    <row r="15" spans="1:44" x14ac:dyDescent="0.2">
      <c r="A15" s="40"/>
      <c r="B15" s="6" t="s">
        <v>167</v>
      </c>
      <c r="C15" s="7"/>
      <c r="D15" s="44"/>
      <c r="E15" s="7"/>
      <c r="F15" s="8"/>
      <c r="G15" s="7"/>
      <c r="H15" s="61"/>
      <c r="I15" s="7"/>
      <c r="J15" s="16"/>
    </row>
    <row r="16" spans="1:44" ht="5.0999999999999996" customHeight="1" x14ac:dyDescent="0.2">
      <c r="A16" s="40"/>
      <c r="B16" s="7"/>
      <c r="C16" s="7"/>
      <c r="D16" s="44"/>
      <c r="E16" s="7"/>
      <c r="F16" s="8"/>
      <c r="G16" s="7"/>
      <c r="H16" s="61"/>
      <c r="I16" s="7"/>
      <c r="J16" s="16"/>
    </row>
    <row r="17" spans="1:33" ht="15.75" x14ac:dyDescent="0.25">
      <c r="A17" s="40"/>
      <c r="B17" s="52" t="s">
        <v>200</v>
      </c>
      <c r="C17" s="7"/>
      <c r="D17" s="66"/>
      <c r="E17" s="7"/>
      <c r="F17" s="8"/>
      <c r="G17" s="7"/>
      <c r="H17" s="61"/>
      <c r="I17" s="7"/>
      <c r="J17" s="325">
        <f>SUM(J18:J18)</f>
        <v>78</v>
      </c>
    </row>
    <row r="18" spans="1:33" x14ac:dyDescent="0.2">
      <c r="A18" s="40"/>
      <c r="B18" s="10" t="s">
        <v>160</v>
      </c>
      <c r="C18" s="11"/>
      <c r="D18" s="361">
        <v>130</v>
      </c>
      <c r="E18" s="11"/>
      <c r="F18" s="12" t="s">
        <v>189</v>
      </c>
      <c r="G18" s="11"/>
      <c r="H18" s="356">
        <f>Garbanzo</f>
        <v>0.6</v>
      </c>
      <c r="I18" s="11"/>
      <c r="J18" s="13">
        <f>D18*H18</f>
        <v>78</v>
      </c>
    </row>
    <row r="19" spans="1:33" ht="5.0999999999999996" customHeight="1" x14ac:dyDescent="0.2">
      <c r="A19" s="40"/>
      <c r="B19" s="7"/>
      <c r="C19" s="7"/>
      <c r="D19" s="44"/>
      <c r="E19" s="7"/>
      <c r="F19" s="8"/>
      <c r="G19" s="7"/>
      <c r="H19" s="61"/>
      <c r="I19" s="7"/>
      <c r="J19" s="16"/>
    </row>
    <row r="20" spans="1:33" x14ac:dyDescent="0.2">
      <c r="A20" s="40"/>
      <c r="B20" s="52" t="s">
        <v>212</v>
      </c>
      <c r="C20" s="7"/>
      <c r="D20" s="44"/>
      <c r="E20" s="7"/>
      <c r="F20" s="8"/>
      <c r="G20" s="7"/>
      <c r="H20" s="61"/>
      <c r="I20" s="7"/>
      <c r="J20" s="325">
        <f>SUM(J21:J21)</f>
        <v>0</v>
      </c>
      <c r="L20" s="42"/>
    </row>
    <row r="21" spans="1:33" x14ac:dyDescent="0.2">
      <c r="A21" s="40"/>
      <c r="B21" s="18"/>
      <c r="C21" s="7"/>
      <c r="D21" s="191"/>
      <c r="E21" s="7"/>
      <c r="F21" s="19"/>
      <c r="G21" s="7"/>
      <c r="H21" s="192"/>
      <c r="I21" s="7"/>
      <c r="J21" s="20">
        <f>D21*H21</f>
        <v>0</v>
      </c>
    </row>
    <row r="22" spans="1:33" ht="5.0999999999999996" customHeight="1" x14ac:dyDescent="0.2">
      <c r="A22" s="40"/>
      <c r="B22" s="7"/>
      <c r="C22" s="7"/>
      <c r="D22" s="44"/>
      <c r="E22" s="7"/>
      <c r="F22" s="8"/>
      <c r="G22" s="7"/>
      <c r="H22" s="61"/>
      <c r="I22" s="7"/>
      <c r="J22" s="20"/>
    </row>
    <row r="23" spans="1:33" x14ac:dyDescent="0.2">
      <c r="A23" s="40"/>
      <c r="B23" s="52" t="s">
        <v>181</v>
      </c>
      <c r="C23" s="7"/>
      <c r="D23" s="44"/>
      <c r="E23" s="7"/>
      <c r="F23" s="8"/>
      <c r="G23" s="7"/>
      <c r="H23" s="61"/>
      <c r="I23" s="7"/>
      <c r="J23" s="324">
        <f>SUM(J27:J31)</f>
        <v>27.693750000000001</v>
      </c>
      <c r="K23" s="197"/>
      <c r="L23" s="197"/>
    </row>
    <row r="24" spans="1:33" s="50" customFormat="1" x14ac:dyDescent="0.2">
      <c r="A24" s="68"/>
      <c r="B24" s="315" t="s">
        <v>346</v>
      </c>
      <c r="C24" s="69"/>
      <c r="D24" s="75"/>
      <c r="E24" s="69"/>
      <c r="F24" s="70"/>
      <c r="G24" s="69"/>
      <c r="H24" s="316"/>
      <c r="I24" s="69"/>
      <c r="J24" s="319"/>
      <c r="K24" s="197"/>
      <c r="L24" s="197"/>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15" t="s">
        <v>347</v>
      </c>
      <c r="C25" s="69"/>
      <c r="D25" s="75"/>
      <c r="E25" s="69"/>
      <c r="F25" s="70"/>
      <c r="G25" s="69"/>
      <c r="H25" s="316"/>
      <c r="I25" s="69"/>
      <c r="J25" s="319"/>
      <c r="K25" s="197"/>
      <c r="L25" s="197"/>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15" t="s">
        <v>348</v>
      </c>
      <c r="C26" s="69"/>
      <c r="D26" s="75"/>
      <c r="E26" s="69"/>
      <c r="F26" s="70"/>
      <c r="G26" s="69"/>
      <c r="H26" s="316"/>
      <c r="I26" s="69"/>
      <c r="J26" s="319"/>
      <c r="K26" s="197"/>
      <c r="L26" s="197"/>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208</v>
      </c>
      <c r="C27" s="7"/>
      <c r="D27" s="361">
        <v>3</v>
      </c>
      <c r="E27" s="7"/>
      <c r="F27" s="19" t="s">
        <v>191</v>
      </c>
      <c r="G27" s="7"/>
      <c r="H27" s="356">
        <f>Pursuit</f>
        <v>3.53</v>
      </c>
      <c r="I27" s="7"/>
      <c r="J27" s="20">
        <f>D27*H27</f>
        <v>10.59</v>
      </c>
    </row>
    <row r="28" spans="1:33" x14ac:dyDescent="0.2">
      <c r="A28" s="40"/>
      <c r="B28" s="18" t="s">
        <v>209</v>
      </c>
      <c r="C28" s="7"/>
      <c r="D28" s="361">
        <v>24</v>
      </c>
      <c r="E28" s="7"/>
      <c r="F28" s="19" t="s">
        <v>191</v>
      </c>
      <c r="G28" s="7"/>
      <c r="H28" s="356">
        <f>Prowl</f>
        <v>0.46</v>
      </c>
      <c r="I28" s="7"/>
      <c r="J28" s="20">
        <f>D28*H28</f>
        <v>11.040000000000001</v>
      </c>
    </row>
    <row r="29" spans="1:33" x14ac:dyDescent="0.2">
      <c r="A29" s="40"/>
      <c r="B29" s="18" t="s">
        <v>162</v>
      </c>
      <c r="C29" s="7"/>
      <c r="D29" s="361">
        <v>50</v>
      </c>
      <c r="E29" s="7"/>
      <c r="F29" s="19" t="s">
        <v>191</v>
      </c>
      <c r="G29" s="7"/>
      <c r="H29" s="381">
        <f>AmmSulfLiq/16</f>
        <v>3.1250000000000002E-3</v>
      </c>
      <c r="I29" s="7"/>
      <c r="J29" s="20">
        <f>D29*H29</f>
        <v>0.15625</v>
      </c>
    </row>
    <row r="30" spans="1:33" x14ac:dyDescent="0.2">
      <c r="A30" s="40"/>
      <c r="B30" s="55" t="s">
        <v>277</v>
      </c>
      <c r="C30" s="7"/>
      <c r="D30" s="369">
        <v>1.5</v>
      </c>
      <c r="E30" s="7"/>
      <c r="F30" s="19" t="s">
        <v>191</v>
      </c>
      <c r="G30" s="7"/>
      <c r="H30" s="356">
        <f>surf</f>
        <v>0.23</v>
      </c>
      <c r="I30" s="7"/>
      <c r="J30" s="20">
        <f>D30*H30</f>
        <v>0.34500000000000003</v>
      </c>
    </row>
    <row r="31" spans="1:33" x14ac:dyDescent="0.2">
      <c r="A31" s="197"/>
      <c r="B31" s="18" t="s">
        <v>358</v>
      </c>
      <c r="C31" s="7"/>
      <c r="D31" s="361">
        <v>1</v>
      </c>
      <c r="E31" s="7"/>
      <c r="F31" s="19" t="s">
        <v>150</v>
      </c>
      <c r="G31" s="7"/>
      <c r="H31" s="356">
        <v>5.5625</v>
      </c>
      <c r="I31" s="7"/>
      <c r="J31" s="20">
        <f>D31*H31</f>
        <v>5.5625</v>
      </c>
      <c r="K31"/>
      <c r="L31" s="197"/>
      <c r="M31" s="197"/>
      <c r="N31" s="197"/>
      <c r="O31" s="197"/>
      <c r="P31" s="197"/>
      <c r="Q31" s="197"/>
      <c r="R31" s="197"/>
      <c r="S31" s="197"/>
      <c r="T31" s="197"/>
      <c r="U31" s="197"/>
      <c r="V31" s="197"/>
      <c r="W31" s="197"/>
      <c r="X31" s="197"/>
      <c r="Y31" s="197"/>
      <c r="Z31" s="197"/>
      <c r="AA31" s="197"/>
      <c r="AB31" s="197"/>
      <c r="AC31" s="197"/>
      <c r="AD31" s="197"/>
      <c r="AE31" s="197"/>
      <c r="AF31" s="197"/>
      <c r="AG31" s="197"/>
    </row>
    <row r="32" spans="1:33" ht="5.25" customHeight="1" x14ac:dyDescent="0.2">
      <c r="A32" s="40"/>
      <c r="B32" s="7"/>
      <c r="C32" s="7"/>
      <c r="D32" s="59"/>
      <c r="E32" s="7"/>
      <c r="F32" s="8"/>
      <c r="G32" s="7"/>
      <c r="H32" s="61"/>
      <c r="I32" s="7"/>
      <c r="J32" s="20"/>
    </row>
    <row r="33" spans="1:10" x14ac:dyDescent="0.2">
      <c r="A33" s="40"/>
      <c r="B33" s="52" t="s">
        <v>270</v>
      </c>
      <c r="C33" s="7"/>
      <c r="D33" s="73"/>
      <c r="E33" s="7"/>
      <c r="F33" s="8"/>
      <c r="G33" s="7"/>
      <c r="H33" s="61"/>
      <c r="I33" s="7"/>
      <c r="J33" s="324">
        <f>SUM(J34:J35)</f>
        <v>8.48</v>
      </c>
    </row>
    <row r="34" spans="1:10" x14ac:dyDescent="0.2">
      <c r="A34" s="40"/>
      <c r="B34" s="18" t="s">
        <v>254</v>
      </c>
      <c r="C34" s="7"/>
      <c r="D34" s="361">
        <v>8</v>
      </c>
      <c r="E34" s="7"/>
      <c r="F34" s="19" t="s">
        <v>191</v>
      </c>
      <c r="G34" s="7"/>
      <c r="H34" s="356">
        <f>Quadris</f>
        <v>1.06</v>
      </c>
      <c r="I34" s="7"/>
      <c r="J34" s="20">
        <f>D34*H34</f>
        <v>8.48</v>
      </c>
    </row>
    <row r="35" spans="1:10" x14ac:dyDescent="0.2">
      <c r="A35" s="40"/>
      <c r="B35" s="18"/>
      <c r="C35" s="7"/>
      <c r="D35" s="191"/>
      <c r="E35" s="7"/>
      <c r="F35" s="19"/>
      <c r="G35" s="7"/>
      <c r="H35" s="192"/>
      <c r="I35" s="7"/>
      <c r="J35" s="20">
        <f>D35*H35</f>
        <v>0</v>
      </c>
    </row>
    <row r="36" spans="1:10" ht="5.25" customHeight="1" x14ac:dyDescent="0.2">
      <c r="A36" s="40"/>
      <c r="B36" s="7"/>
      <c r="C36" s="7"/>
      <c r="D36" s="44"/>
      <c r="E36" s="7"/>
      <c r="F36" s="8"/>
      <c r="G36" s="7"/>
      <c r="H36" s="61"/>
      <c r="I36" s="7"/>
      <c r="J36" s="20"/>
    </row>
    <row r="37" spans="1:10" x14ac:dyDescent="0.2">
      <c r="A37" s="40"/>
      <c r="B37" s="52" t="s">
        <v>50</v>
      </c>
      <c r="C37" s="7"/>
      <c r="D37" s="73"/>
      <c r="E37" s="7"/>
      <c r="F37" s="8"/>
      <c r="G37" s="7"/>
      <c r="H37" s="61"/>
      <c r="I37" s="7"/>
      <c r="J37" s="324">
        <f>SUM(J38:J42)</f>
        <v>53.224894530219288</v>
      </c>
    </row>
    <row r="38" spans="1:10" x14ac:dyDescent="0.2">
      <c r="A38" s="40"/>
      <c r="B38" s="33" t="s">
        <v>284</v>
      </c>
      <c r="C38" s="7"/>
      <c r="D38" s="353">
        <f>'Machinery Costs'!$M$241</f>
        <v>10.385915492957746</v>
      </c>
      <c r="E38" s="7"/>
      <c r="F38" s="19" t="s">
        <v>286</v>
      </c>
      <c r="G38" s="7"/>
      <c r="H38" s="356">
        <f>Diesel</f>
        <v>2</v>
      </c>
      <c r="I38" s="7"/>
      <c r="J38" s="20">
        <f>D38*H38</f>
        <v>20.771830985915493</v>
      </c>
    </row>
    <row r="39" spans="1:10" x14ac:dyDescent="0.2">
      <c r="A39" s="40"/>
      <c r="B39" s="33" t="s">
        <v>285</v>
      </c>
      <c r="C39" s="7"/>
      <c r="D39" s="43">
        <v>1</v>
      </c>
      <c r="E39" s="7"/>
      <c r="F39" s="19" t="s">
        <v>190</v>
      </c>
      <c r="G39" s="7"/>
      <c r="H39" s="354">
        <f>'Machinery Costs'!$I$241</f>
        <v>3.2309999999999999</v>
      </c>
      <c r="I39" s="7"/>
      <c r="J39" s="20">
        <f>D39*H39</f>
        <v>3.2309999999999999</v>
      </c>
    </row>
    <row r="40" spans="1:10" x14ac:dyDescent="0.2">
      <c r="A40" s="40"/>
      <c r="B40" s="33" t="s">
        <v>91</v>
      </c>
      <c r="C40" s="7"/>
      <c r="D40" s="43">
        <v>1</v>
      </c>
      <c r="E40" s="7"/>
      <c r="F40" s="19" t="s">
        <v>190</v>
      </c>
      <c r="G40" s="7"/>
      <c r="H40" s="354">
        <f>'Machinery Costs'!$G$241</f>
        <v>9.347999999999999</v>
      </c>
      <c r="I40" s="7"/>
      <c r="J40" s="20">
        <f>D40*H40</f>
        <v>9.347999999999999</v>
      </c>
    </row>
    <row r="41" spans="1:10" x14ac:dyDescent="0.2">
      <c r="A41" s="40"/>
      <c r="B41" s="33" t="s">
        <v>173</v>
      </c>
      <c r="C41" s="7"/>
      <c r="D41" s="353">
        <f>'Machinery Costs'!$L$241</f>
        <v>0.99370317721518975</v>
      </c>
      <c r="E41" s="7"/>
      <c r="F41" s="312" t="s">
        <v>184</v>
      </c>
      <c r="G41" s="7"/>
      <c r="H41" s="356">
        <f>Labor</f>
        <v>20</v>
      </c>
      <c r="I41" s="7"/>
      <c r="J41" s="20">
        <f>D41*H41</f>
        <v>19.874063544303795</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152</v>
      </c>
      <c r="C44" s="7"/>
      <c r="D44" s="73"/>
      <c r="E44" s="7"/>
      <c r="F44" s="8"/>
      <c r="G44" s="7"/>
      <c r="H44" s="61"/>
      <c r="I44" s="7"/>
      <c r="J44" s="324">
        <f>SUM(J45:J47)</f>
        <v>8.9499999999999993</v>
      </c>
    </row>
    <row r="45" spans="1:10" x14ac:dyDescent="0.2">
      <c r="A45" s="40"/>
      <c r="B45" s="18" t="s">
        <v>261</v>
      </c>
      <c r="C45" s="7"/>
      <c r="D45" s="361">
        <v>0</v>
      </c>
      <c r="E45" s="7"/>
      <c r="F45" s="19" t="s">
        <v>190</v>
      </c>
      <c r="G45" s="7"/>
      <c r="H45" s="356">
        <f>Sprayer</f>
        <v>2</v>
      </c>
      <c r="I45" s="7"/>
      <c r="J45" s="20">
        <f>D45*H45</f>
        <v>0</v>
      </c>
    </row>
    <row r="46" spans="1:10" x14ac:dyDescent="0.2">
      <c r="A46" s="40"/>
      <c r="B46" s="18" t="s">
        <v>197</v>
      </c>
      <c r="C46" s="7"/>
      <c r="D46" s="361">
        <v>1</v>
      </c>
      <c r="E46" s="7"/>
      <c r="F46" s="19" t="s">
        <v>190</v>
      </c>
      <c r="G46" s="7"/>
      <c r="H46" s="356">
        <f>Aerial</f>
        <v>8.9499999999999993</v>
      </c>
      <c r="I46" s="7"/>
      <c r="J46" s="20">
        <f>D46*H46</f>
        <v>8.9499999999999993</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61"/>
      <c r="I48" s="7"/>
      <c r="J48" s="20"/>
    </row>
    <row r="49" spans="1:33" x14ac:dyDescent="0.2">
      <c r="A49" s="40"/>
      <c r="B49" s="52" t="s">
        <v>153</v>
      </c>
      <c r="C49" s="7"/>
      <c r="D49" s="44"/>
      <c r="E49" s="7"/>
      <c r="F49" s="8"/>
      <c r="G49" s="7"/>
      <c r="H49" s="61"/>
      <c r="I49" s="7"/>
      <c r="J49" s="324">
        <f>SUM(J50:J52)</f>
        <v>22</v>
      </c>
    </row>
    <row r="50" spans="1:33" x14ac:dyDescent="0.2">
      <c r="A50" s="40"/>
      <c r="B50" s="18" t="s">
        <v>192</v>
      </c>
      <c r="C50" s="7"/>
      <c r="D50" s="43">
        <v>1</v>
      </c>
      <c r="E50" s="7"/>
      <c r="F50" s="19" t="s">
        <v>190</v>
      </c>
      <c r="G50" s="7"/>
      <c r="H50" s="358">
        <v>22</v>
      </c>
      <c r="I50" s="7"/>
      <c r="J50" s="20">
        <f>D50*H50</f>
        <v>22</v>
      </c>
    </row>
    <row r="51" spans="1:33" x14ac:dyDescent="0.2">
      <c r="A51" s="40"/>
      <c r="B51" s="33" t="s">
        <v>172</v>
      </c>
      <c r="C51" s="7"/>
      <c r="D51" s="43"/>
      <c r="E51" s="7"/>
      <c r="F51" s="19"/>
      <c r="G51" s="7"/>
      <c r="H51" s="45"/>
      <c r="I51" s="7"/>
      <c r="J51" s="20">
        <f>D51*H51</f>
        <v>0</v>
      </c>
    </row>
    <row r="52" spans="1:33" x14ac:dyDescent="0.2">
      <c r="A52" s="197"/>
      <c r="B52" s="33" t="s">
        <v>240</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329</v>
      </c>
      <c r="C54" s="7"/>
      <c r="D54" s="44"/>
      <c r="E54" s="7"/>
      <c r="F54" s="8"/>
      <c r="G54" s="7"/>
      <c r="H54" s="44"/>
      <c r="I54" s="7"/>
      <c r="J54" s="20">
        <f>+(J17+J20+J23+J33+J37+J44+J49)*operloan*0.5</f>
        <v>5.7025235302438047</v>
      </c>
    </row>
    <row r="55" spans="1:33" ht="5.25" customHeight="1" x14ac:dyDescent="0.2">
      <c r="A55" s="40"/>
      <c r="B55" s="7"/>
      <c r="C55" s="7"/>
      <c r="D55" s="44"/>
      <c r="E55" s="7"/>
      <c r="F55" s="8"/>
      <c r="G55" s="7"/>
      <c r="H55" s="44"/>
      <c r="I55" s="7"/>
      <c r="J55" s="20"/>
    </row>
    <row r="56" spans="1:33" x14ac:dyDescent="0.2">
      <c r="A56" s="40"/>
      <c r="B56" s="52" t="s">
        <v>232</v>
      </c>
      <c r="C56" s="52"/>
      <c r="D56" s="65"/>
      <c r="E56" s="52"/>
      <c r="F56" s="53"/>
      <c r="G56" s="52"/>
      <c r="H56" s="65"/>
      <c r="I56" s="52"/>
      <c r="J56" s="54">
        <f>SUM(J17:J54)-(J17+J20+J23+J33+J37+J44+J49)</f>
        <v>204.05116806046303</v>
      </c>
    </row>
    <row r="57" spans="1:33" x14ac:dyDescent="0.2">
      <c r="A57" s="40"/>
      <c r="B57" s="7" t="s">
        <v>233</v>
      </c>
      <c r="C57" s="7"/>
      <c r="D57" s="44"/>
      <c r="E57" s="7"/>
      <c r="F57" s="8"/>
      <c r="G57" s="7"/>
      <c r="H57" s="44"/>
      <c r="I57" s="7"/>
      <c r="J57" s="20">
        <f>J56/D13</f>
        <v>0.17004264005038586</v>
      </c>
    </row>
    <row r="58" spans="1:33" ht="5.25" customHeight="1" x14ac:dyDescent="0.2">
      <c r="A58" s="40"/>
      <c r="B58" s="7"/>
      <c r="C58" s="7"/>
      <c r="D58" s="44"/>
      <c r="E58" s="7"/>
      <c r="F58" s="8"/>
      <c r="G58" s="7"/>
      <c r="H58" s="44"/>
      <c r="I58" s="7"/>
      <c r="J58" s="20"/>
    </row>
    <row r="59" spans="1:33" s="47" customFormat="1" x14ac:dyDescent="0.2">
      <c r="A59" s="46"/>
      <c r="B59" s="62" t="s">
        <v>234</v>
      </c>
      <c r="C59" s="62"/>
      <c r="D59" s="63"/>
      <c r="E59" s="62"/>
      <c r="F59" s="64"/>
      <c r="G59" s="62"/>
      <c r="H59" s="63"/>
      <c r="I59" s="62"/>
      <c r="J59" s="96">
        <f>J13-J56</f>
        <v>179.94883193953697</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325</v>
      </c>
      <c r="C60" s="7"/>
      <c r="D60" s="44"/>
      <c r="E60" s="7"/>
      <c r="F60" s="8"/>
      <c r="G60" s="7"/>
      <c r="H60" s="44"/>
      <c r="I60" s="7"/>
      <c r="J60" s="20"/>
    </row>
    <row r="61" spans="1:33" x14ac:dyDescent="0.2">
      <c r="A61" s="40"/>
      <c r="B61" s="417" t="s">
        <v>477</v>
      </c>
      <c r="C61" s="95"/>
      <c r="D61" s="59"/>
      <c r="E61" s="7"/>
      <c r="F61" s="19" t="s">
        <v>190</v>
      </c>
      <c r="G61" s="7"/>
      <c r="H61" s="353">
        <f>'Machinery Costs'!C241</f>
        <v>17.040000000000003</v>
      </c>
      <c r="I61" s="7"/>
      <c r="J61" s="20">
        <f>H61</f>
        <v>17.040000000000003</v>
      </c>
      <c r="L61" s="42"/>
      <c r="AG61" s="40"/>
    </row>
    <row r="62" spans="1:33" x14ac:dyDescent="0.2">
      <c r="A62" s="40"/>
      <c r="B62" s="417" t="s">
        <v>478</v>
      </c>
      <c r="C62" s="95"/>
      <c r="D62" s="59"/>
      <c r="E62" s="7"/>
      <c r="F62" s="19" t="s">
        <v>190</v>
      </c>
      <c r="G62" s="7"/>
      <c r="H62" s="353">
        <f>'Machinery Costs'!D241</f>
        <v>12.641</v>
      </c>
      <c r="I62" s="7"/>
      <c r="J62" s="20">
        <f>H62</f>
        <v>12.641</v>
      </c>
      <c r="L62" s="42"/>
      <c r="AG62" s="40"/>
    </row>
    <row r="63" spans="1:33" x14ac:dyDescent="0.2">
      <c r="A63" s="40"/>
      <c r="B63" s="417" t="s">
        <v>479</v>
      </c>
      <c r="C63" s="95"/>
      <c r="D63" s="59"/>
      <c r="E63" s="7"/>
      <c r="F63" s="19" t="s">
        <v>190</v>
      </c>
      <c r="G63" s="7"/>
      <c r="H63" s="353">
        <f>'Machinery Costs'!E241</f>
        <v>5.0629999999999997</v>
      </c>
      <c r="I63" s="7"/>
      <c r="J63" s="20">
        <f>H63</f>
        <v>5.0629999999999997</v>
      </c>
      <c r="L63" s="42"/>
      <c r="AG63" s="40"/>
    </row>
    <row r="64" spans="1:33" x14ac:dyDescent="0.2">
      <c r="A64" s="40"/>
      <c r="B64" s="18" t="s">
        <v>266</v>
      </c>
      <c r="C64" s="7"/>
      <c r="D64" s="7"/>
      <c r="E64" s="7"/>
      <c r="F64" s="19" t="s">
        <v>190</v>
      </c>
      <c r="G64" s="7"/>
      <c r="H64" s="79">
        <f>ROUND((D13*H13)*D66-(J20+J23+J33+H50)*D66, 0)</f>
        <v>81</v>
      </c>
      <c r="I64" s="7"/>
      <c r="J64" s="20">
        <f>+H64</f>
        <v>81</v>
      </c>
    </row>
    <row r="65" spans="1:32" ht="12.75" customHeight="1" x14ac:dyDescent="0.2">
      <c r="A65" s="40"/>
      <c r="B65" s="7" t="s">
        <v>267</v>
      </c>
      <c r="C65" s="7"/>
      <c r="D65" s="44"/>
      <c r="E65" s="7"/>
      <c r="F65" s="8"/>
      <c r="G65" s="7"/>
      <c r="H65" s="93"/>
      <c r="I65" s="7"/>
      <c r="J65" s="20"/>
      <c r="P65" s="356"/>
    </row>
    <row r="66" spans="1:32" ht="12.75" customHeight="1" x14ac:dyDescent="0.2">
      <c r="A66" s="40"/>
      <c r="B66" s="7" t="s">
        <v>268</v>
      </c>
      <c r="C66" s="7"/>
      <c r="D66" s="372">
        <v>0.25</v>
      </c>
      <c r="E66" s="7"/>
      <c r="F66" s="8"/>
      <c r="G66" s="7"/>
      <c r="H66" s="61"/>
      <c r="I66" s="7"/>
      <c r="J66" s="20"/>
    </row>
    <row r="67" spans="1:32" ht="12.75" customHeight="1" x14ac:dyDescent="0.2">
      <c r="A67" s="40"/>
      <c r="B67" s="7" t="s">
        <v>269</v>
      </c>
      <c r="C67" s="7"/>
      <c r="D67" s="372">
        <v>0.75</v>
      </c>
      <c r="E67" s="7"/>
      <c r="F67" s="8"/>
      <c r="G67" s="7"/>
      <c r="H67" s="61"/>
      <c r="I67" s="7"/>
      <c r="J67" s="20"/>
    </row>
    <row r="68" spans="1:32" ht="12.75" customHeight="1" x14ac:dyDescent="0.2">
      <c r="A68" s="40"/>
      <c r="B68" s="51"/>
      <c r="C68" s="51"/>
      <c r="D68" s="74"/>
      <c r="E68" s="51"/>
      <c r="F68" s="74"/>
      <c r="G68" s="7"/>
      <c r="H68" s="44"/>
      <c r="I68" s="7"/>
      <c r="J68" s="20"/>
    </row>
    <row r="69" spans="1:32" ht="12.95" customHeight="1" x14ac:dyDescent="0.2">
      <c r="A69" s="40"/>
      <c r="B69" s="146" t="s">
        <v>121</v>
      </c>
      <c r="C69" s="51"/>
      <c r="D69" s="74"/>
      <c r="E69" s="51"/>
      <c r="F69" s="74"/>
      <c r="G69" s="7"/>
      <c r="H69" s="44"/>
      <c r="I69" s="7"/>
      <c r="J69" s="20">
        <f>cashrent</f>
        <v>0</v>
      </c>
    </row>
    <row r="70" spans="1:32" ht="12.95" customHeight="1" x14ac:dyDescent="0.2">
      <c r="A70" s="40"/>
      <c r="B70" s="147" t="s">
        <v>61</v>
      </c>
      <c r="C70" s="7"/>
      <c r="D70" s="44"/>
      <c r="E70" s="7"/>
      <c r="F70" s="8"/>
      <c r="G70" s="7"/>
      <c r="H70" s="44"/>
      <c r="I70" s="7"/>
      <c r="J70" s="20">
        <f>ROUND(($J$17+$J$20+$J$23+$J$33+$J$37+$J$44+$J$49)*oh, 0)</f>
        <v>5</v>
      </c>
    </row>
    <row r="71" spans="1:32" ht="12.95" customHeight="1" x14ac:dyDescent="0.2">
      <c r="A71" s="197"/>
      <c r="B71" s="147" t="s">
        <v>330</v>
      </c>
      <c r="C71" s="94"/>
      <c r="D71" s="59"/>
      <c r="E71" s="7"/>
      <c r="F71" s="8"/>
      <c r="G71" s="7"/>
      <c r="H71" s="44"/>
      <c r="I71" s="7"/>
      <c r="J71" s="20">
        <f>($J$13)*MF</f>
        <v>19.200000000000003</v>
      </c>
      <c r="K71" s="197"/>
      <c r="L71" s="197"/>
      <c r="M71" s="197"/>
      <c r="N71" s="197"/>
      <c r="O71" s="197"/>
      <c r="P71" s="197"/>
      <c r="Q71" s="197"/>
      <c r="R71" s="197"/>
      <c r="S71" s="197"/>
      <c r="T71" s="197"/>
      <c r="U71" s="197"/>
      <c r="V71" s="197"/>
      <c r="W71" s="197"/>
      <c r="X71" s="197"/>
      <c r="Y71" s="197"/>
      <c r="Z71" s="197"/>
      <c r="AA71" s="197"/>
      <c r="AB71" s="197"/>
      <c r="AC71" s="197"/>
      <c r="AD71" s="197"/>
      <c r="AE71" s="197"/>
      <c r="AF71" s="197"/>
    </row>
    <row r="72" spans="1:32" ht="5.25" customHeight="1" x14ac:dyDescent="0.2">
      <c r="A72" s="40"/>
      <c r="B72" s="7"/>
      <c r="C72" s="7"/>
      <c r="D72" s="44"/>
      <c r="E72" s="7"/>
      <c r="F72" s="8"/>
      <c r="G72" s="7"/>
      <c r="H72" s="44"/>
      <c r="I72" s="7"/>
      <c r="J72" s="20"/>
    </row>
    <row r="73" spans="1:32" x14ac:dyDescent="0.2">
      <c r="A73" s="40"/>
      <c r="B73" s="52" t="s">
        <v>230</v>
      </c>
      <c r="C73" s="52"/>
      <c r="D73" s="65"/>
      <c r="E73" s="52"/>
      <c r="F73" s="53"/>
      <c r="G73" s="52"/>
      <c r="H73" s="65"/>
      <c r="I73" s="52"/>
      <c r="J73" s="54">
        <f>SUM(J60:J71)</f>
        <v>139.94400000000002</v>
      </c>
    </row>
    <row r="74" spans="1:32" x14ac:dyDescent="0.2">
      <c r="A74" s="40"/>
      <c r="B74" s="7" t="s">
        <v>231</v>
      </c>
      <c r="C74" s="7"/>
      <c r="D74" s="44"/>
      <c r="E74" s="7"/>
      <c r="F74" s="8"/>
      <c r="G74" s="7"/>
      <c r="H74" s="44"/>
      <c r="I74" s="7"/>
      <c r="J74" s="20">
        <f>J73/D13</f>
        <v>0.11662000000000002</v>
      </c>
    </row>
    <row r="75" spans="1:32" x14ac:dyDescent="0.2">
      <c r="A75" s="40"/>
      <c r="B75" s="7"/>
      <c r="C75" s="7"/>
      <c r="D75" s="44"/>
      <c r="E75" s="7"/>
      <c r="F75" s="8"/>
      <c r="G75" s="7"/>
      <c r="H75" s="44"/>
      <c r="I75" s="7"/>
      <c r="J75" s="20"/>
    </row>
    <row r="76" spans="1:32" x14ac:dyDescent="0.2">
      <c r="A76" s="40"/>
      <c r="B76" s="52" t="s">
        <v>94</v>
      </c>
      <c r="C76" s="52"/>
      <c r="D76" s="65"/>
      <c r="E76" s="52"/>
      <c r="F76" s="53"/>
      <c r="G76" s="52"/>
      <c r="H76" s="65"/>
      <c r="I76" s="52"/>
      <c r="J76" s="54">
        <f>J56+J73</f>
        <v>343.99516806046302</v>
      </c>
    </row>
    <row r="77" spans="1:32" s="50" customFormat="1" x14ac:dyDescent="0.2">
      <c r="A77" s="68"/>
      <c r="B77" s="69" t="s">
        <v>95</v>
      </c>
      <c r="C77" s="69"/>
      <c r="D77" s="75"/>
      <c r="E77" s="69"/>
      <c r="F77" s="70"/>
      <c r="G77" s="69"/>
      <c r="H77" s="75"/>
      <c r="I77" s="69"/>
      <c r="J77" s="71">
        <f>J76/D13</f>
        <v>0.28666264005038583</v>
      </c>
      <c r="K77" s="68"/>
      <c r="L77" s="68"/>
      <c r="M77" s="68"/>
      <c r="N77" s="68"/>
      <c r="O77" s="68"/>
      <c r="P77" s="68"/>
      <c r="Q77" s="68"/>
      <c r="R77" s="68"/>
      <c r="S77" s="68"/>
      <c r="T77" s="68"/>
      <c r="U77" s="68"/>
      <c r="V77" s="68"/>
      <c r="W77" s="68"/>
      <c r="X77" s="68"/>
      <c r="Y77" s="68"/>
      <c r="Z77" s="68"/>
      <c r="AA77" s="68"/>
      <c r="AB77" s="68"/>
      <c r="AC77" s="68"/>
      <c r="AD77" s="68"/>
      <c r="AE77" s="68"/>
      <c r="AF77" s="68"/>
    </row>
    <row r="78" spans="1:32" x14ac:dyDescent="0.2">
      <c r="A78" s="40"/>
      <c r="B78" s="7"/>
      <c r="C78" s="7"/>
      <c r="D78" s="44"/>
      <c r="E78" s="7"/>
      <c r="F78" s="8"/>
      <c r="G78" s="7"/>
      <c r="H78" s="44"/>
      <c r="I78" s="7"/>
      <c r="J78" s="20"/>
    </row>
    <row r="79" spans="1:32" s="47" customFormat="1" x14ac:dyDescent="0.2">
      <c r="A79" s="46"/>
      <c r="B79" s="52" t="s">
        <v>96</v>
      </c>
      <c r="C79" s="52"/>
      <c r="D79" s="65"/>
      <c r="E79" s="52"/>
      <c r="F79" s="53"/>
      <c r="G79" s="52"/>
      <c r="H79" s="65"/>
      <c r="I79" s="52"/>
      <c r="J79" s="54">
        <f>J13-J76</f>
        <v>40.004831939536984</v>
      </c>
      <c r="K79" s="46"/>
      <c r="L79" s="46"/>
      <c r="M79" s="46"/>
      <c r="N79" s="46"/>
      <c r="O79" s="46"/>
      <c r="P79" s="46"/>
      <c r="Q79" s="46"/>
      <c r="R79" s="46"/>
      <c r="S79" s="46"/>
      <c r="T79" s="46"/>
      <c r="U79" s="46"/>
      <c r="V79" s="46"/>
      <c r="W79" s="46"/>
      <c r="X79" s="46"/>
      <c r="Y79" s="46"/>
      <c r="Z79" s="46"/>
      <c r="AA79" s="46"/>
      <c r="AB79" s="46"/>
      <c r="AC79" s="46"/>
      <c r="AD79" s="46"/>
      <c r="AE79" s="46"/>
      <c r="AF79" s="46"/>
    </row>
    <row r="80" spans="1:32" x14ac:dyDescent="0.2">
      <c r="A80" s="40"/>
      <c r="B80" s="3"/>
      <c r="C80" s="3"/>
      <c r="D80" s="2"/>
      <c r="E80" s="3"/>
      <c r="F80" s="4"/>
      <c r="G80" s="3"/>
      <c r="H80" s="2"/>
      <c r="I80" s="3"/>
      <c r="J80" s="5"/>
    </row>
    <row r="81" spans="1:10" x14ac:dyDescent="0.2">
      <c r="A81" s="40"/>
      <c r="B81" s="56" t="s">
        <v>97</v>
      </c>
      <c r="C81" s="56"/>
      <c r="D81" s="76"/>
      <c r="E81" s="56"/>
      <c r="F81" s="57"/>
      <c r="G81" s="56"/>
      <c r="H81" s="76"/>
      <c r="I81" s="56"/>
      <c r="J81" s="56"/>
    </row>
    <row r="82" spans="1:10" s="457" customFormat="1" ht="15.6" customHeight="1" x14ac:dyDescent="0.2">
      <c r="B82" s="563" t="s">
        <v>466</v>
      </c>
      <c r="C82" s="563"/>
      <c r="D82" s="563"/>
      <c r="E82" s="563"/>
      <c r="F82" s="563"/>
      <c r="G82" s="563"/>
      <c r="H82" s="563"/>
      <c r="I82" s="563"/>
      <c r="J82" s="563"/>
    </row>
    <row r="83" spans="1:10" s="197" customFormat="1" ht="16.5" customHeight="1" x14ac:dyDescent="0.2">
      <c r="B83" s="563" t="s">
        <v>338</v>
      </c>
      <c r="C83" s="563"/>
      <c r="D83" s="563"/>
      <c r="E83" s="563"/>
      <c r="F83" s="563"/>
      <c r="G83" s="563"/>
      <c r="H83" s="563"/>
      <c r="I83" s="563"/>
      <c r="J83" s="563"/>
    </row>
    <row r="84" spans="1:10" s="197" customFormat="1" ht="30" customHeight="1" x14ac:dyDescent="0.2">
      <c r="B84" s="568" t="s">
        <v>339</v>
      </c>
      <c r="C84" s="569"/>
      <c r="D84" s="569"/>
      <c r="E84" s="569"/>
      <c r="F84" s="569"/>
      <c r="G84" s="569"/>
      <c r="H84" s="569"/>
      <c r="I84" s="569"/>
      <c r="J84" s="569"/>
    </row>
    <row r="85" spans="1:10" x14ac:dyDescent="0.2">
      <c r="A85" s="40"/>
      <c r="B85" s="7"/>
      <c r="C85" s="7"/>
      <c r="D85" s="44"/>
      <c r="E85" s="7"/>
      <c r="F85" s="8"/>
      <c r="G85" s="7"/>
      <c r="H85" s="44"/>
      <c r="I85" s="7"/>
      <c r="J85" s="7"/>
    </row>
    <row r="86" spans="1:10" x14ac:dyDescent="0.2">
      <c r="A86" s="40"/>
      <c r="B86" s="22" t="s">
        <v>98</v>
      </c>
      <c r="C86" s="7"/>
      <c r="D86" s="23" t="s">
        <v>99</v>
      </c>
      <c r="E86" s="7"/>
      <c r="F86" s="8"/>
      <c r="G86" s="7"/>
      <c r="H86" s="23" t="s">
        <v>101</v>
      </c>
      <c r="I86" s="7"/>
      <c r="J86" s="7"/>
    </row>
    <row r="87" spans="1:10" x14ac:dyDescent="0.2">
      <c r="A87" s="40"/>
      <c r="B87" s="7"/>
      <c r="C87" s="7"/>
      <c r="D87" s="24">
        <v>0.1</v>
      </c>
      <c r="E87" s="7"/>
      <c r="F87" s="8" t="s">
        <v>100</v>
      </c>
      <c r="G87" s="7"/>
      <c r="H87" s="24">
        <v>0.1</v>
      </c>
      <c r="I87" s="7"/>
      <c r="J87" s="7"/>
    </row>
    <row r="88" spans="1:10" x14ac:dyDescent="0.2">
      <c r="A88" s="40"/>
      <c r="B88" s="7"/>
      <c r="C88" s="7"/>
      <c r="D88" s="25"/>
      <c r="E88" s="3"/>
      <c r="F88" s="2" t="s">
        <v>102</v>
      </c>
      <c r="G88" s="3"/>
      <c r="H88" s="25"/>
      <c r="I88" s="7"/>
      <c r="J88" s="7"/>
    </row>
    <row r="89" spans="1:10" x14ac:dyDescent="0.2">
      <c r="A89" s="40"/>
      <c r="B89" s="26" t="s">
        <v>169</v>
      </c>
      <c r="C89" s="7"/>
      <c r="D89" s="151">
        <f>F89*(1-D87)</f>
        <v>1080</v>
      </c>
      <c r="E89" s="27"/>
      <c r="F89" s="28">
        <f>D13</f>
        <v>1200</v>
      </c>
      <c r="G89" s="27"/>
      <c r="H89" s="78">
        <f>F89*(1+H87)</f>
        <v>1320</v>
      </c>
      <c r="I89" s="7"/>
      <c r="J89" s="7"/>
    </row>
    <row r="90" spans="1:10" ht="4.5" customHeight="1" x14ac:dyDescent="0.2">
      <c r="A90" s="40"/>
      <c r="B90" s="7"/>
      <c r="C90" s="7"/>
      <c r="D90" s="44"/>
      <c r="E90" s="7"/>
      <c r="F90" s="8"/>
      <c r="G90" s="7"/>
      <c r="H90" s="44"/>
      <c r="I90" s="7"/>
      <c r="J90" s="7"/>
    </row>
    <row r="91" spans="1:10" x14ac:dyDescent="0.2">
      <c r="A91" s="40"/>
      <c r="B91" s="7" t="s">
        <v>170</v>
      </c>
      <c r="C91" s="7"/>
      <c r="D91" s="29">
        <f>$J$56/D89</f>
        <v>0.18893626672265096</v>
      </c>
      <c r="E91" s="7"/>
      <c r="F91" s="29">
        <f>$J$56/F89</f>
        <v>0.17004264005038586</v>
      </c>
      <c r="G91" s="7"/>
      <c r="H91" s="29">
        <f>$J$56/H89</f>
        <v>0.1545842182276235</v>
      </c>
      <c r="I91" s="7"/>
      <c r="J91" s="7"/>
    </row>
    <row r="92" spans="1:10" ht="4.5" customHeight="1" x14ac:dyDescent="0.2">
      <c r="A92" s="40"/>
      <c r="B92" s="7"/>
      <c r="C92" s="7"/>
      <c r="D92" s="44"/>
      <c r="E92" s="7"/>
      <c r="F92" s="8"/>
      <c r="G92" s="7"/>
      <c r="H92" s="44"/>
      <c r="I92" s="7"/>
      <c r="J92" s="7"/>
    </row>
    <row r="93" spans="1:10" x14ac:dyDescent="0.2">
      <c r="A93" s="40"/>
      <c r="B93" s="7" t="s">
        <v>171</v>
      </c>
      <c r="C93" s="7"/>
      <c r="D93" s="29">
        <f>$J$73/D89</f>
        <v>0.12957777777777779</v>
      </c>
      <c r="E93" s="7"/>
      <c r="F93" s="29">
        <f>$J$73/F89</f>
        <v>0.11662000000000002</v>
      </c>
      <c r="G93" s="7"/>
      <c r="H93" s="29">
        <f>$J$73/H89</f>
        <v>0.10601818181818183</v>
      </c>
      <c r="I93" s="7"/>
      <c r="J93" s="7"/>
    </row>
    <row r="94" spans="1:10" ht="3.75" customHeight="1" x14ac:dyDescent="0.2">
      <c r="A94" s="40"/>
      <c r="B94" s="7"/>
      <c r="C94" s="7"/>
      <c r="D94" s="44"/>
      <c r="E94" s="7"/>
      <c r="F94" s="8"/>
      <c r="G94" s="7"/>
      <c r="H94" s="44"/>
      <c r="I94" s="7"/>
      <c r="J94" s="7"/>
    </row>
    <row r="95" spans="1:10" x14ac:dyDescent="0.2">
      <c r="A95" s="40"/>
      <c r="B95" s="7" t="s">
        <v>188</v>
      </c>
      <c r="C95" s="7"/>
      <c r="D95" s="29">
        <f>$J$76/D89</f>
        <v>0.31851404450042869</v>
      </c>
      <c r="E95" s="7"/>
      <c r="F95" s="29">
        <f>$J$76/F89</f>
        <v>0.28666264005038583</v>
      </c>
      <c r="G95" s="7"/>
      <c r="H95" s="29">
        <f>$J$76/H89</f>
        <v>0.26060240004580532</v>
      </c>
      <c r="I95" s="7"/>
      <c r="J95" s="7"/>
    </row>
    <row r="96" spans="1:10" x14ac:dyDescent="0.2">
      <c r="A96" s="40"/>
      <c r="B96" s="7"/>
      <c r="C96" s="7"/>
      <c r="D96" s="29"/>
      <c r="E96" s="7"/>
      <c r="F96" s="29"/>
      <c r="G96" s="7"/>
      <c r="H96" s="29"/>
      <c r="I96" s="7"/>
      <c r="J96" s="7"/>
    </row>
    <row r="97" spans="1:10" x14ac:dyDescent="0.2">
      <c r="A97" s="40"/>
      <c r="B97" s="7"/>
      <c r="C97" s="7"/>
      <c r="D97" s="23" t="s">
        <v>99</v>
      </c>
      <c r="E97" s="7"/>
      <c r="F97" s="8"/>
      <c r="G97" s="7"/>
      <c r="H97" s="23" t="s">
        <v>101</v>
      </c>
      <c r="I97" s="7"/>
      <c r="J97" s="7"/>
    </row>
    <row r="98" spans="1:10" x14ac:dyDescent="0.2">
      <c r="A98" s="40"/>
      <c r="B98" s="7"/>
      <c r="C98" s="7"/>
      <c r="D98" s="24">
        <v>0.1</v>
      </c>
      <c r="E98" s="7"/>
      <c r="F98" s="8" t="s">
        <v>100</v>
      </c>
      <c r="G98" s="7"/>
      <c r="H98" s="24">
        <v>0.1</v>
      </c>
      <c r="I98" s="7"/>
      <c r="J98" s="7"/>
    </row>
    <row r="99" spans="1:10" x14ac:dyDescent="0.2">
      <c r="A99" s="40"/>
      <c r="B99" s="7"/>
      <c r="C99" s="7"/>
      <c r="D99" s="2"/>
      <c r="E99" s="3"/>
      <c r="F99" s="4" t="s">
        <v>169</v>
      </c>
      <c r="G99" s="3"/>
      <c r="H99" s="2"/>
      <c r="I99" s="7"/>
      <c r="J99" s="7"/>
    </row>
    <row r="100" spans="1:10" x14ac:dyDescent="0.2">
      <c r="A100" s="40"/>
      <c r="B100" s="26" t="s">
        <v>102</v>
      </c>
      <c r="C100" s="7"/>
      <c r="D100" s="30">
        <f>F100*(1-D87)</f>
        <v>0.28800000000000003</v>
      </c>
      <c r="E100" s="27"/>
      <c r="F100" s="31">
        <f>H13</f>
        <v>0.32</v>
      </c>
      <c r="G100" s="27"/>
      <c r="H100" s="30">
        <f>F100*(1+H87)</f>
        <v>0.35200000000000004</v>
      </c>
      <c r="I100" s="7"/>
      <c r="J100" s="7"/>
    </row>
    <row r="101" spans="1:10" ht="4.5" customHeight="1" x14ac:dyDescent="0.2">
      <c r="A101" s="40"/>
      <c r="B101" s="7"/>
      <c r="C101" s="7"/>
      <c r="D101" s="44"/>
      <c r="E101" s="7"/>
      <c r="F101" s="8"/>
      <c r="G101" s="7"/>
      <c r="H101" s="44"/>
      <c r="I101" s="7"/>
      <c r="J101" s="7"/>
    </row>
    <row r="102" spans="1:10" x14ac:dyDescent="0.2">
      <c r="A102" s="40"/>
      <c r="B102" s="7" t="s">
        <v>170</v>
      </c>
      <c r="C102" s="7"/>
      <c r="D102" s="32">
        <f>$J$56/D100</f>
        <v>708.51100020994102</v>
      </c>
      <c r="E102" s="7"/>
      <c r="F102" s="32">
        <f>$J$56/F100</f>
        <v>637.65990018894695</v>
      </c>
      <c r="G102" s="7"/>
      <c r="H102" s="32">
        <f>$J$56/H100</f>
        <v>579.69081835358804</v>
      </c>
      <c r="I102" s="7"/>
      <c r="J102" s="7"/>
    </row>
    <row r="103" spans="1:10" ht="3" customHeight="1" x14ac:dyDescent="0.2">
      <c r="A103" s="40"/>
      <c r="B103" s="7"/>
      <c r="C103" s="7"/>
      <c r="D103" s="44"/>
      <c r="E103" s="7"/>
      <c r="F103" s="8"/>
      <c r="G103" s="7"/>
      <c r="H103" s="44"/>
      <c r="I103" s="7"/>
      <c r="J103" s="7"/>
    </row>
    <row r="104" spans="1:10" x14ac:dyDescent="0.2">
      <c r="A104" s="40"/>
      <c r="B104" s="7" t="s">
        <v>171</v>
      </c>
      <c r="C104" s="7"/>
      <c r="D104" s="32">
        <f>$J$73/D100</f>
        <v>485.91666666666669</v>
      </c>
      <c r="E104" s="7"/>
      <c r="F104" s="32">
        <f>$J$73/F100</f>
        <v>437.32500000000005</v>
      </c>
      <c r="G104" s="7"/>
      <c r="H104" s="32">
        <f>$J$73/H100</f>
        <v>397.56818181818181</v>
      </c>
      <c r="I104" s="7"/>
      <c r="J104" s="7"/>
    </row>
    <row r="105" spans="1:10" ht="3.75" customHeight="1" x14ac:dyDescent="0.2">
      <c r="A105" s="40"/>
      <c r="B105" s="7"/>
      <c r="C105" s="7"/>
      <c r="D105" s="44"/>
      <c r="E105" s="7"/>
      <c r="F105" s="8"/>
      <c r="G105" s="7"/>
      <c r="H105" s="44"/>
      <c r="I105" s="7"/>
      <c r="J105" s="7"/>
    </row>
    <row r="106" spans="1:10" x14ac:dyDescent="0.2">
      <c r="A106" s="40"/>
      <c r="B106" s="7" t="s">
        <v>188</v>
      </c>
      <c r="C106" s="7"/>
      <c r="D106" s="32">
        <f>$J$76/D100</f>
        <v>1194.4276668766076</v>
      </c>
      <c r="E106" s="7"/>
      <c r="F106" s="32">
        <f>$J$76/F100</f>
        <v>1074.984900188947</v>
      </c>
      <c r="G106" s="7"/>
      <c r="H106" s="32">
        <f>$J$76/H100</f>
        <v>977.2590001717698</v>
      </c>
      <c r="I106" s="7"/>
      <c r="J106" s="7"/>
    </row>
    <row r="107" spans="1:10" ht="5.25" customHeight="1" x14ac:dyDescent="0.2">
      <c r="A107" s="40"/>
      <c r="B107" s="7"/>
      <c r="C107" s="7"/>
      <c r="D107" s="44"/>
      <c r="E107" s="7"/>
      <c r="F107" s="8"/>
      <c r="G107" s="7"/>
      <c r="H107" s="44"/>
      <c r="I107" s="7"/>
      <c r="J107" s="7"/>
    </row>
    <row r="108" spans="1:10" x14ac:dyDescent="0.2">
      <c r="A108" s="40"/>
      <c r="B108" s="3"/>
      <c r="C108" s="3"/>
      <c r="D108" s="2"/>
      <c r="E108" s="3"/>
      <c r="F108" s="4"/>
      <c r="G108" s="3"/>
      <c r="H108" s="2"/>
      <c r="I108" s="3"/>
      <c r="J108" s="3"/>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row r="138" spans="1:10" x14ac:dyDescent="0.2">
      <c r="A138" s="40"/>
      <c r="B138" s="40"/>
      <c r="C138" s="40"/>
      <c r="D138" s="58"/>
      <c r="E138" s="40"/>
      <c r="F138" s="41"/>
      <c r="G138" s="40"/>
      <c r="H138" s="58"/>
      <c r="I138" s="40"/>
      <c r="J138" s="40"/>
    </row>
    <row r="139" spans="1:10" x14ac:dyDescent="0.2">
      <c r="A139" s="40"/>
      <c r="B139" s="40"/>
      <c r="C139" s="40"/>
      <c r="D139" s="58"/>
      <c r="E139" s="40"/>
      <c r="F139" s="41"/>
      <c r="G139" s="40"/>
      <c r="H139" s="58"/>
      <c r="I139" s="40"/>
      <c r="J139" s="40"/>
    </row>
  </sheetData>
  <customSheetViews>
    <customSheetView guid="{5519EDA0-AC19-11DC-BDFC-0017F2D6B148}" showPageBreaks="1" view="pageLayout">
      <selection activeCell="B2" sqref="B2"/>
      <pageMargins left="0.25" right="0.25" top="0.25" bottom="1" header="0.5" footer="0.5"/>
      <pageSetup paperSize="0" orientation="portrait" horizontalDpi="4294967292" verticalDpi="4294967292"/>
      <headerFooter alignWithMargins="0"/>
    </customSheetView>
  </customSheetViews>
  <mergeCells count="6">
    <mergeCell ref="B83:J83"/>
    <mergeCell ref="B84:J84"/>
    <mergeCell ref="B2:J2"/>
    <mergeCell ref="B5:J5"/>
    <mergeCell ref="B7:J7"/>
    <mergeCell ref="B82:J82"/>
  </mergeCells>
  <phoneticPr fontId="7" type="noConversion"/>
  <printOptions horizontalCentered="1"/>
  <pageMargins left="0.75" right="0.75" top="1" bottom="1" header="0" footer="0.5"/>
  <pageSetup scale="97" fitToHeight="2" orientation="portrait" r:id="rId1"/>
  <headerFooter alignWithMargins="0">
    <oddFooter>&amp;L&amp;A&amp;C&amp;F&amp;R&amp;D</oddFooter>
  </headerFooter>
  <rowBreaks count="1" manualBreakCount="1">
    <brk id="59" min="1" max="9" man="1"/>
  </rowBreaks>
  <ignoredErrors>
    <ignoredError sqref="J21 J35 J42 J47 J51 J56"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zoomScaleNormal="100" workbookViewId="0">
      <selection activeCell="B3" sqref="B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9" width="11.42578125" style="40" customWidth="1"/>
    <col min="10" max="11" width="11.42578125" style="142" customWidth="1"/>
  </cols>
  <sheetData>
    <row r="1" spans="2:5" ht="15" customHeight="1" x14ac:dyDescent="0.2">
      <c r="B1" s="40"/>
      <c r="C1" s="40"/>
      <c r="D1" s="40"/>
      <c r="E1" s="40"/>
    </row>
    <row r="2" spans="2:5" ht="31.5" customHeight="1" x14ac:dyDescent="0.25">
      <c r="B2" s="571" t="s">
        <v>536</v>
      </c>
      <c r="C2" s="578"/>
      <c r="D2" s="578"/>
      <c r="E2" s="578"/>
    </row>
    <row r="3" spans="2:5" ht="6" customHeight="1" x14ac:dyDescent="0.25">
      <c r="B3" s="180"/>
      <c r="C3" s="175"/>
      <c r="D3" s="175"/>
      <c r="E3" s="175"/>
    </row>
    <row r="4" spans="2:5" ht="33" customHeight="1" x14ac:dyDescent="0.2">
      <c r="B4" s="183" t="s">
        <v>287</v>
      </c>
      <c r="C4" s="183" t="s">
        <v>289</v>
      </c>
      <c r="D4" s="183" t="s">
        <v>291</v>
      </c>
      <c r="E4" s="183" t="s">
        <v>292</v>
      </c>
    </row>
    <row r="5" spans="2:5" x14ac:dyDescent="0.2">
      <c r="B5" s="449"/>
      <c r="C5" s="449"/>
      <c r="D5" s="449"/>
      <c r="E5" s="449"/>
    </row>
    <row r="6" spans="2:5" x14ac:dyDescent="0.2">
      <c r="B6" s="450" t="s">
        <v>271</v>
      </c>
      <c r="C6" s="450" t="s">
        <v>272</v>
      </c>
      <c r="D6" s="450" t="s">
        <v>20</v>
      </c>
      <c r="E6" s="450"/>
    </row>
    <row r="7" spans="2:5" x14ac:dyDescent="0.2">
      <c r="B7" s="446"/>
      <c r="C7" s="446"/>
      <c r="D7" s="446"/>
      <c r="E7" s="446"/>
    </row>
    <row r="8" spans="2:5" x14ac:dyDescent="0.2">
      <c r="B8" s="446" t="s">
        <v>154</v>
      </c>
      <c r="C8" s="446" t="s">
        <v>272</v>
      </c>
      <c r="D8" s="446" t="s">
        <v>21</v>
      </c>
      <c r="E8" s="446"/>
    </row>
    <row r="9" spans="2:5" x14ac:dyDescent="0.2">
      <c r="B9" s="449"/>
      <c r="C9" s="449"/>
      <c r="D9" s="449" t="s">
        <v>22</v>
      </c>
      <c r="E9" s="449"/>
    </row>
    <row r="10" spans="2:5" x14ac:dyDescent="0.2">
      <c r="B10" s="450" t="s">
        <v>154</v>
      </c>
      <c r="C10" s="450" t="s">
        <v>260</v>
      </c>
      <c r="D10" s="450" t="s">
        <v>272</v>
      </c>
      <c r="E10" s="450"/>
    </row>
    <row r="11" spans="2:5" x14ac:dyDescent="0.2">
      <c r="B11" s="446"/>
      <c r="C11" s="446"/>
      <c r="D11" s="446" t="s">
        <v>24</v>
      </c>
      <c r="E11" s="446"/>
    </row>
    <row r="12" spans="2:5" x14ac:dyDescent="0.2">
      <c r="B12" s="445" t="s">
        <v>154</v>
      </c>
      <c r="C12" s="448" t="s">
        <v>260</v>
      </c>
      <c r="D12" s="448" t="s">
        <v>272</v>
      </c>
      <c r="E12" s="445"/>
    </row>
    <row r="13" spans="2:5" x14ac:dyDescent="0.2">
      <c r="B13" s="452"/>
      <c r="C13" s="452"/>
      <c r="D13" s="452"/>
      <c r="E13" s="452" t="s">
        <v>281</v>
      </c>
    </row>
    <row r="14" spans="2:5" x14ac:dyDescent="0.2">
      <c r="B14" s="452" t="s">
        <v>154</v>
      </c>
      <c r="C14" s="453" t="s">
        <v>420</v>
      </c>
      <c r="D14" s="453" t="s">
        <v>449</v>
      </c>
      <c r="E14" s="452" t="s">
        <v>127</v>
      </c>
    </row>
    <row r="15" spans="2:5" x14ac:dyDescent="0.2">
      <c r="B15" s="444"/>
      <c r="C15" s="444"/>
      <c r="D15" s="444"/>
      <c r="E15" s="444"/>
    </row>
    <row r="16" spans="2:5" x14ac:dyDescent="0.2">
      <c r="B16" s="445" t="s">
        <v>275</v>
      </c>
      <c r="C16" s="445" t="s">
        <v>241</v>
      </c>
      <c r="D16" s="445" t="s">
        <v>62</v>
      </c>
      <c r="E16" s="445" t="s">
        <v>130</v>
      </c>
    </row>
    <row r="17" spans="2:5" x14ac:dyDescent="0.2">
      <c r="B17" s="449"/>
      <c r="C17" s="449"/>
      <c r="D17" s="449"/>
      <c r="E17" s="449"/>
    </row>
    <row r="18" spans="2:5" x14ac:dyDescent="0.2">
      <c r="B18" s="450" t="s">
        <v>275</v>
      </c>
      <c r="C18" s="450" t="s">
        <v>155</v>
      </c>
      <c r="D18" s="450"/>
      <c r="E18" s="450"/>
    </row>
    <row r="19" spans="2:5" x14ac:dyDescent="0.2">
      <c r="B19" s="444"/>
      <c r="C19" s="444"/>
      <c r="D19" s="444"/>
      <c r="E19" s="444"/>
    </row>
    <row r="20" spans="2:5" x14ac:dyDescent="0.2">
      <c r="B20" s="445" t="s">
        <v>213</v>
      </c>
      <c r="C20" s="445" t="s">
        <v>118</v>
      </c>
      <c r="D20" s="445" t="s">
        <v>352</v>
      </c>
      <c r="E20" s="445" t="s">
        <v>280</v>
      </c>
    </row>
    <row r="21" spans="2:5" ht="12" customHeight="1" x14ac:dyDescent="0.2">
      <c r="B21" s="449"/>
      <c r="C21" s="449"/>
      <c r="D21" s="449"/>
      <c r="E21" s="449"/>
    </row>
    <row r="22" spans="2:5" ht="12" customHeight="1" x14ac:dyDescent="0.2">
      <c r="B22" s="450" t="s">
        <v>288</v>
      </c>
      <c r="C22" s="450" t="s">
        <v>293</v>
      </c>
      <c r="D22" s="450" t="s">
        <v>28</v>
      </c>
      <c r="E22" s="45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7"/>
  <sheetViews>
    <sheetView zoomScaleNormal="100" workbookViewId="0">
      <selection activeCell="B9" sqref="B9"/>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x14ac:dyDescent="0.2">
      <c r="D1" s="58"/>
      <c r="F1" s="41"/>
      <c r="H1" s="58"/>
    </row>
    <row r="2" spans="1:44" s="40" customFormat="1" ht="18" customHeight="1" x14ac:dyDescent="0.2">
      <c r="A2" s="374"/>
      <c r="B2" s="327" t="s">
        <v>49</v>
      </c>
      <c r="C2" s="56"/>
      <c r="D2" s="76"/>
      <c r="E2" s="56"/>
      <c r="F2" s="57"/>
      <c r="G2" s="56"/>
      <c r="H2" s="76"/>
      <c r="I2" s="56"/>
      <c r="J2" s="56"/>
    </row>
    <row r="3" spans="1:44" s="40" customFormat="1" x14ac:dyDescent="0.2">
      <c r="A3" s="374"/>
      <c r="B3" s="575" t="s">
        <v>383</v>
      </c>
      <c r="C3" s="575"/>
      <c r="D3" s="575"/>
      <c r="E3" s="575"/>
      <c r="F3" s="575"/>
      <c r="G3" s="575"/>
      <c r="H3" s="575"/>
      <c r="I3" s="575"/>
      <c r="J3" s="575"/>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ht="8.25" customHeight="1" x14ac:dyDescent="0.2">
      <c r="A7" s="40"/>
      <c r="B7" s="40"/>
      <c r="C7" s="40"/>
      <c r="D7" s="58"/>
      <c r="E7" s="40"/>
      <c r="F7" s="41"/>
      <c r="G7" s="40"/>
      <c r="H7" s="58"/>
      <c r="I7" s="40"/>
      <c r="J7" s="40"/>
    </row>
    <row r="8" spans="1:44" s="92" customFormat="1" ht="30.75" customHeight="1" x14ac:dyDescent="0.25">
      <c r="A8" s="91"/>
      <c r="B8" s="576" t="s">
        <v>537</v>
      </c>
      <c r="C8" s="572"/>
      <c r="D8" s="572"/>
      <c r="E8" s="572"/>
      <c r="F8" s="572"/>
      <c r="G8" s="572"/>
      <c r="H8" s="572"/>
      <c r="I8" s="572"/>
      <c r="J8" s="572"/>
      <c r="K8" s="91"/>
      <c r="L8" s="91"/>
      <c r="M8" s="91"/>
      <c r="N8" s="91"/>
      <c r="O8" s="91"/>
      <c r="P8" s="91"/>
      <c r="Q8" s="91"/>
      <c r="R8" s="91"/>
      <c r="S8" s="91"/>
      <c r="T8" s="91"/>
      <c r="U8" s="91"/>
      <c r="V8" s="91"/>
      <c r="W8" s="91"/>
      <c r="X8" s="91"/>
      <c r="Y8" s="91"/>
      <c r="Z8" s="91"/>
      <c r="AA8" s="91"/>
      <c r="AB8" s="91"/>
      <c r="AC8" s="91"/>
      <c r="AD8" s="91"/>
      <c r="AE8" s="91"/>
      <c r="AF8" s="91"/>
    </row>
    <row r="9" spans="1:44" s="92" customFormat="1" ht="3" customHeight="1" x14ac:dyDescent="0.25">
      <c r="A9" s="91"/>
      <c r="B9" s="184"/>
      <c r="C9" s="185"/>
      <c r="D9" s="186"/>
      <c r="E9" s="185"/>
      <c r="F9" s="186"/>
      <c r="G9" s="185"/>
      <c r="H9" s="186"/>
      <c r="I9" s="185"/>
      <c r="J9" s="185"/>
      <c r="K9" s="91"/>
      <c r="L9" s="91"/>
      <c r="M9" s="91"/>
      <c r="N9" s="91"/>
      <c r="O9" s="91"/>
      <c r="P9" s="91"/>
      <c r="Q9" s="91"/>
      <c r="R9" s="91"/>
      <c r="S9" s="91"/>
      <c r="T9" s="91"/>
      <c r="U9" s="91"/>
      <c r="V9" s="91"/>
      <c r="W9" s="91"/>
      <c r="X9" s="91"/>
      <c r="Y9" s="91"/>
      <c r="Z9" s="91"/>
      <c r="AA9" s="91"/>
      <c r="AB9" s="91"/>
      <c r="AC9" s="91"/>
      <c r="AD9" s="91"/>
      <c r="AE9" s="91"/>
      <c r="AF9" s="91"/>
    </row>
    <row r="10" spans="1:44" s="86" customFormat="1" ht="14.25" x14ac:dyDescent="0.2">
      <c r="A10" s="81"/>
      <c r="B10" s="223"/>
      <c r="C10" s="223"/>
      <c r="D10" s="224" t="s">
        <v>249</v>
      </c>
      <c r="E10" s="224"/>
      <c r="F10" s="225"/>
      <c r="G10" s="224"/>
      <c r="H10" s="224" t="s">
        <v>250</v>
      </c>
      <c r="I10" s="224"/>
      <c r="J10" s="226" t="s">
        <v>251</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4.25" x14ac:dyDescent="0.2">
      <c r="A11" s="81"/>
      <c r="B11" s="87" t="s">
        <v>252</v>
      </c>
      <c r="C11" s="220"/>
      <c r="D11" s="87" t="s">
        <v>156</v>
      </c>
      <c r="E11" s="87"/>
      <c r="F11" s="221" t="s">
        <v>157</v>
      </c>
      <c r="G11" s="87"/>
      <c r="H11" s="87" t="s">
        <v>5</v>
      </c>
      <c r="I11" s="87"/>
      <c r="J11" s="222" t="s">
        <v>198</v>
      </c>
      <c r="K11" s="81"/>
      <c r="L11" s="81"/>
      <c r="M11" s="81"/>
      <c r="N11" s="81"/>
      <c r="O11" s="81"/>
      <c r="P11" s="81"/>
      <c r="Q11" s="81"/>
      <c r="R11" s="81"/>
      <c r="S11" s="81"/>
      <c r="T11" s="81"/>
      <c r="U11" s="81"/>
      <c r="V11" s="81"/>
      <c r="W11" s="81"/>
      <c r="X11" s="81"/>
      <c r="Y11" s="81"/>
      <c r="Z11" s="81"/>
      <c r="AA11" s="81"/>
      <c r="AB11" s="81"/>
      <c r="AC11" s="81"/>
      <c r="AD11" s="81"/>
      <c r="AE11" s="81"/>
      <c r="AF11" s="81"/>
    </row>
    <row r="12" spans="1:44" ht="5.25" customHeight="1" x14ac:dyDescent="0.2">
      <c r="A12" s="40"/>
      <c r="B12" s="2"/>
      <c r="C12" s="3"/>
      <c r="D12" s="2"/>
      <c r="E12" s="3"/>
      <c r="F12" s="4"/>
      <c r="G12" s="3"/>
      <c r="H12" s="2"/>
      <c r="I12" s="3"/>
      <c r="J12" s="5"/>
    </row>
    <row r="13" spans="1:44" x14ac:dyDescent="0.2">
      <c r="A13" s="40"/>
      <c r="B13" s="6" t="s">
        <v>199</v>
      </c>
      <c r="C13" s="7"/>
      <c r="D13" s="44"/>
      <c r="E13" s="7"/>
      <c r="F13" s="8"/>
      <c r="G13" s="7"/>
      <c r="H13" s="44"/>
      <c r="I13" s="7"/>
      <c r="J13" s="9"/>
    </row>
    <row r="14" spans="1:44" x14ac:dyDescent="0.2">
      <c r="A14" s="40"/>
      <c r="B14" s="10" t="s">
        <v>161</v>
      </c>
      <c r="C14" s="11"/>
      <c r="D14" s="363">
        <f>+Summary!$D$24</f>
        <v>1500</v>
      </c>
      <c r="E14" s="11"/>
      <c r="F14" s="12" t="s">
        <v>189</v>
      </c>
      <c r="G14" s="11"/>
      <c r="H14" s="364">
        <f>+Summary!$E$24</f>
        <v>0.16</v>
      </c>
      <c r="I14" s="11"/>
      <c r="J14" s="13">
        <f>D14*H14</f>
        <v>240</v>
      </c>
      <c r="L14" s="48"/>
      <c r="M14" s="48"/>
      <c r="N14" s="48"/>
      <c r="O14" s="48"/>
      <c r="P14" s="48"/>
    </row>
    <row r="15" spans="1:44" ht="3.75" customHeight="1" x14ac:dyDescent="0.2">
      <c r="A15" s="40"/>
      <c r="B15" s="11"/>
      <c r="C15" s="11"/>
      <c r="D15" s="72"/>
      <c r="E15" s="11"/>
      <c r="F15" s="15"/>
      <c r="G15" s="11"/>
      <c r="H15" s="77"/>
      <c r="I15" s="11"/>
      <c r="J15" s="13"/>
    </row>
    <row r="16" spans="1:44" x14ac:dyDescent="0.2">
      <c r="A16" s="40"/>
      <c r="B16" s="6" t="s">
        <v>167</v>
      </c>
      <c r="C16" s="7"/>
      <c r="D16" s="44"/>
      <c r="E16" s="7"/>
      <c r="F16" s="8"/>
      <c r="G16" s="7"/>
      <c r="H16" s="61"/>
      <c r="I16" s="7"/>
      <c r="J16" s="16"/>
    </row>
    <row r="17" spans="1:33" ht="5.0999999999999996" customHeight="1" x14ac:dyDescent="0.2">
      <c r="A17" s="40"/>
      <c r="B17" s="7"/>
      <c r="C17" s="7"/>
      <c r="D17" s="44"/>
      <c r="E17" s="7"/>
      <c r="F17" s="8"/>
      <c r="G17" s="7"/>
      <c r="H17" s="61"/>
      <c r="I17" s="7"/>
      <c r="J17" s="20"/>
    </row>
    <row r="18" spans="1:33" ht="15.75" x14ac:dyDescent="0.25">
      <c r="A18" s="40"/>
      <c r="B18" s="52" t="s">
        <v>200</v>
      </c>
      <c r="C18" s="7"/>
      <c r="D18" s="66"/>
      <c r="E18" s="7"/>
      <c r="F18" s="8"/>
      <c r="G18" s="7"/>
      <c r="H18" s="61"/>
      <c r="I18" s="7"/>
      <c r="J18" s="324">
        <f>SUM(J19:J19)</f>
        <v>44</v>
      </c>
    </row>
    <row r="19" spans="1:33" x14ac:dyDescent="0.2">
      <c r="A19" s="40"/>
      <c r="B19" s="10" t="s">
        <v>319</v>
      </c>
      <c r="C19" s="11"/>
      <c r="D19" s="361">
        <v>4</v>
      </c>
      <c r="E19" s="11"/>
      <c r="F19" s="12" t="s">
        <v>189</v>
      </c>
      <c r="G19" s="11"/>
      <c r="H19" s="356">
        <f>Canola</f>
        <v>11</v>
      </c>
      <c r="I19" s="11"/>
      <c r="J19" s="13">
        <f>D19*H19</f>
        <v>44</v>
      </c>
    </row>
    <row r="20" spans="1:33" ht="5.0999999999999996" customHeight="1" x14ac:dyDescent="0.2">
      <c r="A20" s="40"/>
      <c r="B20" s="7"/>
      <c r="C20" s="7"/>
      <c r="D20" s="44"/>
      <c r="E20" s="7"/>
      <c r="F20" s="8"/>
      <c r="G20" s="7"/>
      <c r="H20" s="61"/>
      <c r="I20" s="7"/>
      <c r="J20" s="20"/>
    </row>
    <row r="21" spans="1:33" x14ac:dyDescent="0.2">
      <c r="A21" s="40"/>
      <c r="B21" s="52" t="s">
        <v>212</v>
      </c>
      <c r="C21" s="7"/>
      <c r="D21" s="44"/>
      <c r="E21" s="7"/>
      <c r="F21" s="8"/>
      <c r="G21" s="7"/>
      <c r="H21" s="61"/>
      <c r="I21" s="7"/>
      <c r="J21" s="324">
        <f>SUM(J24:J26)</f>
        <v>77.600000000000009</v>
      </c>
      <c r="K21" s="197"/>
      <c r="L21" s="42"/>
    </row>
    <row r="22" spans="1:33" s="50" customFormat="1" x14ac:dyDescent="0.2">
      <c r="A22" s="68"/>
      <c r="B22" s="315" t="s">
        <v>343</v>
      </c>
      <c r="C22" s="69"/>
      <c r="D22" s="75"/>
      <c r="E22" s="69"/>
      <c r="F22" s="70"/>
      <c r="G22" s="69"/>
      <c r="H22" s="316"/>
      <c r="I22" s="69"/>
      <c r="J22" s="317"/>
      <c r="K22" s="19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K23" s="19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417</v>
      </c>
      <c r="C24" s="7"/>
      <c r="D24" s="361">
        <v>100</v>
      </c>
      <c r="E24" s="7"/>
      <c r="F24" s="19" t="s">
        <v>189</v>
      </c>
      <c r="G24" s="7"/>
      <c r="H24" s="356">
        <f>Nitrogen</f>
        <v>0.59</v>
      </c>
      <c r="I24" s="7"/>
      <c r="J24" s="20">
        <f>D24*H24</f>
        <v>59</v>
      </c>
      <c r="K24" s="197"/>
    </row>
    <row r="25" spans="1:33" x14ac:dyDescent="0.2">
      <c r="A25" s="40"/>
      <c r="B25" s="55" t="s">
        <v>399</v>
      </c>
      <c r="C25" s="7"/>
      <c r="D25" s="361">
        <v>15</v>
      </c>
      <c r="E25" s="7"/>
      <c r="F25" s="19" t="s">
        <v>189</v>
      </c>
      <c r="G25" s="7"/>
      <c r="H25" s="356">
        <f>Phosphorous</f>
        <v>0.71</v>
      </c>
      <c r="I25" s="7"/>
      <c r="J25" s="20">
        <f>D25*H25</f>
        <v>10.649999999999999</v>
      </c>
      <c r="K25" s="197"/>
    </row>
    <row r="26" spans="1:33" x14ac:dyDescent="0.2">
      <c r="A26" s="40"/>
      <c r="B26" s="55" t="s">
        <v>418</v>
      </c>
      <c r="C26" s="7"/>
      <c r="D26" s="361">
        <v>15</v>
      </c>
      <c r="E26" s="7"/>
      <c r="F26" s="19" t="s">
        <v>189</v>
      </c>
      <c r="G26" s="7"/>
      <c r="H26" s="356">
        <f>Sulfur</f>
        <v>0.53</v>
      </c>
      <c r="I26" s="7"/>
      <c r="J26" s="20">
        <f>D26*H26</f>
        <v>7.95</v>
      </c>
      <c r="K26" s="197"/>
    </row>
    <row r="27" spans="1:33" ht="5.0999999999999996" customHeight="1" x14ac:dyDescent="0.2">
      <c r="A27" s="40"/>
      <c r="B27" s="7"/>
      <c r="C27" s="7"/>
      <c r="D27" s="44"/>
      <c r="E27" s="7"/>
      <c r="F27" s="8"/>
      <c r="G27" s="7"/>
      <c r="H27" s="61"/>
      <c r="I27" s="7"/>
      <c r="J27" s="20"/>
      <c r="K27" s="197"/>
    </row>
    <row r="28" spans="1:33" x14ac:dyDescent="0.2">
      <c r="A28" s="40"/>
      <c r="B28" s="52" t="s">
        <v>181</v>
      </c>
      <c r="C28" s="7"/>
      <c r="D28" s="44"/>
      <c r="E28" s="7"/>
      <c r="F28" s="8"/>
      <c r="G28" s="7"/>
      <c r="H28" s="61"/>
      <c r="I28" s="7"/>
      <c r="J28" s="324">
        <f>SUM(J32:J35)</f>
        <v>15.861250000000002</v>
      </c>
      <c r="K28" s="197"/>
    </row>
    <row r="29" spans="1:33" s="50" customFormat="1" x14ac:dyDescent="0.2">
      <c r="A29" s="68"/>
      <c r="B29" s="315" t="s">
        <v>346</v>
      </c>
      <c r="C29" s="69"/>
      <c r="D29" s="75"/>
      <c r="E29" s="69"/>
      <c r="F29" s="70"/>
      <c r="G29" s="69"/>
      <c r="H29" s="316"/>
      <c r="I29" s="69"/>
      <c r="J29" s="319"/>
      <c r="K29" s="197"/>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5" t="s">
        <v>347</v>
      </c>
      <c r="C30" s="69"/>
      <c r="D30" s="75"/>
      <c r="E30" s="69"/>
      <c r="F30" s="70"/>
      <c r="G30" s="69"/>
      <c r="H30" s="316"/>
      <c r="I30" s="69"/>
      <c r="J30" s="319"/>
      <c r="K30" s="197"/>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348</v>
      </c>
      <c r="C31" s="69"/>
      <c r="D31" s="75"/>
      <c r="E31" s="69"/>
      <c r="F31" s="70"/>
      <c r="G31" s="69"/>
      <c r="H31" s="316"/>
      <c r="I31" s="69"/>
      <c r="J31" s="319"/>
      <c r="K31" s="197"/>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A32" s="40"/>
      <c r="B32" s="55" t="s">
        <v>276</v>
      </c>
      <c r="C32" s="7"/>
      <c r="D32" s="361">
        <v>12</v>
      </c>
      <c r="E32" s="7"/>
      <c r="F32" s="19" t="s">
        <v>191</v>
      </c>
      <c r="G32" s="7"/>
      <c r="H32" s="356">
        <f>Glyphosphate</f>
        <v>0.18</v>
      </c>
      <c r="I32" s="7"/>
      <c r="J32" s="20">
        <f>D32*H32</f>
        <v>2.16</v>
      </c>
    </row>
    <row r="33" spans="1:10" x14ac:dyDescent="0.2">
      <c r="A33" s="40"/>
      <c r="B33" s="18" t="s">
        <v>162</v>
      </c>
      <c r="C33" s="7"/>
      <c r="D33" s="361">
        <v>50</v>
      </c>
      <c r="E33" s="7"/>
      <c r="F33" s="19" t="s">
        <v>191</v>
      </c>
      <c r="G33" s="7"/>
      <c r="H33" s="381">
        <f>AmmSulfLiq/16</f>
        <v>3.1250000000000002E-3</v>
      </c>
      <c r="I33" s="7"/>
      <c r="J33" s="20">
        <f>D33*H33</f>
        <v>0.15625</v>
      </c>
    </row>
    <row r="34" spans="1:10" x14ac:dyDescent="0.2">
      <c r="A34" s="40"/>
      <c r="B34" s="55" t="s">
        <v>277</v>
      </c>
      <c r="C34" s="7"/>
      <c r="D34" s="369">
        <v>1.5</v>
      </c>
      <c r="E34" s="7"/>
      <c r="F34" s="19" t="s">
        <v>191</v>
      </c>
      <c r="G34" s="7"/>
      <c r="H34" s="356">
        <f>surf</f>
        <v>0.23</v>
      </c>
      <c r="I34" s="7"/>
      <c r="J34" s="20">
        <f>D34*H34</f>
        <v>0.34500000000000003</v>
      </c>
    </row>
    <row r="35" spans="1:10" x14ac:dyDescent="0.2">
      <c r="A35" s="40"/>
      <c r="B35" s="18" t="s">
        <v>136</v>
      </c>
      <c r="C35" s="7"/>
      <c r="D35" s="361">
        <v>5</v>
      </c>
      <c r="E35" s="7"/>
      <c r="F35" s="19" t="s">
        <v>191</v>
      </c>
      <c r="G35" s="7"/>
      <c r="H35" s="356">
        <f>Capture</f>
        <v>2.64</v>
      </c>
      <c r="I35" s="7"/>
      <c r="J35" s="20">
        <f>D35*H35</f>
        <v>13.200000000000001</v>
      </c>
    </row>
    <row r="36" spans="1:10" ht="5.25" customHeight="1" x14ac:dyDescent="0.2">
      <c r="A36" s="40"/>
      <c r="B36" s="7"/>
      <c r="C36" s="7"/>
      <c r="D36" s="59"/>
      <c r="E36" s="7"/>
      <c r="F36" s="8"/>
      <c r="G36" s="7"/>
      <c r="H36" s="61"/>
      <c r="I36" s="7"/>
      <c r="J36" s="20"/>
    </row>
    <row r="37" spans="1:10" x14ac:dyDescent="0.2">
      <c r="A37" s="40"/>
      <c r="B37" s="52" t="s">
        <v>50</v>
      </c>
      <c r="C37" s="7"/>
      <c r="D37" s="73"/>
      <c r="E37" s="7"/>
      <c r="F37" s="8"/>
      <c r="G37" s="7"/>
      <c r="H37" s="61"/>
      <c r="I37" s="7"/>
      <c r="J37" s="324">
        <f>SUM(J38:J41)</f>
        <v>56.432135036548395</v>
      </c>
    </row>
    <row r="38" spans="1:10" x14ac:dyDescent="0.2">
      <c r="A38" s="40"/>
      <c r="B38" s="33" t="s">
        <v>284</v>
      </c>
      <c r="C38" s="7"/>
      <c r="D38" s="353">
        <f>'Machinery Costs'!$M$264</f>
        <v>11.375915492957747</v>
      </c>
      <c r="E38" s="7"/>
      <c r="F38" s="19" t="s">
        <v>286</v>
      </c>
      <c r="G38" s="7"/>
      <c r="H38" s="356">
        <f>Diesel</f>
        <v>2</v>
      </c>
      <c r="I38" s="7"/>
      <c r="J38" s="20">
        <f>D38*H38</f>
        <v>22.751830985915493</v>
      </c>
    </row>
    <row r="39" spans="1:10" x14ac:dyDescent="0.2">
      <c r="A39" s="40"/>
      <c r="B39" s="33" t="s">
        <v>285</v>
      </c>
      <c r="C39" s="7"/>
      <c r="D39" s="43">
        <v>1</v>
      </c>
      <c r="E39" s="7"/>
      <c r="F39" s="19" t="s">
        <v>190</v>
      </c>
      <c r="G39" s="7"/>
      <c r="H39" s="354">
        <f>'Machinery Costs'!$I$264</f>
        <v>3.5309999999999997</v>
      </c>
      <c r="I39" s="7"/>
      <c r="J39" s="20">
        <f>D39*H39</f>
        <v>3.5309999999999997</v>
      </c>
    </row>
    <row r="40" spans="1:10" x14ac:dyDescent="0.2">
      <c r="A40" s="40"/>
      <c r="B40" s="33" t="s">
        <v>91</v>
      </c>
      <c r="C40" s="7"/>
      <c r="D40" s="43">
        <v>1</v>
      </c>
      <c r="E40" s="7"/>
      <c r="F40" s="19" t="s">
        <v>190</v>
      </c>
      <c r="G40" s="7"/>
      <c r="H40" s="354">
        <f>'Machinery Costs'!$G$264</f>
        <v>9.3879999999999981</v>
      </c>
      <c r="I40" s="7"/>
      <c r="J40" s="20">
        <f>D40*H40</f>
        <v>9.3879999999999981</v>
      </c>
    </row>
    <row r="41" spans="1:10" x14ac:dyDescent="0.2">
      <c r="A41" s="40"/>
      <c r="B41" s="33" t="s">
        <v>173</v>
      </c>
      <c r="C41" s="7"/>
      <c r="D41" s="353">
        <f>'Machinery Costs'!$L$264</f>
        <v>1.0380652025316455</v>
      </c>
      <c r="E41" s="7"/>
      <c r="F41" s="312" t="s">
        <v>184</v>
      </c>
      <c r="G41" s="7"/>
      <c r="H41" s="356">
        <f>Labor</f>
        <v>20</v>
      </c>
      <c r="I41" s="7"/>
      <c r="J41" s="20">
        <f>D41*H41</f>
        <v>20.761304050632909</v>
      </c>
    </row>
    <row r="42" spans="1:10" ht="5.25" customHeight="1" x14ac:dyDescent="0.2">
      <c r="A42" s="40"/>
      <c r="B42" s="7"/>
      <c r="C42" s="7"/>
      <c r="D42" s="44"/>
      <c r="E42" s="7"/>
      <c r="F42" s="8"/>
      <c r="G42" s="7"/>
      <c r="H42" s="61"/>
      <c r="I42" s="7"/>
      <c r="J42" s="20"/>
    </row>
    <row r="43" spans="1:10" x14ac:dyDescent="0.2">
      <c r="A43" s="40"/>
      <c r="B43" s="52" t="s">
        <v>152</v>
      </c>
      <c r="C43" s="7"/>
      <c r="D43" s="73"/>
      <c r="E43" s="7"/>
      <c r="F43" s="8"/>
      <c r="G43" s="7"/>
      <c r="H43" s="61"/>
      <c r="I43" s="7"/>
      <c r="J43" s="324">
        <f>SUM(J44:J47)</f>
        <v>11.45</v>
      </c>
    </row>
    <row r="44" spans="1:10" x14ac:dyDescent="0.2">
      <c r="A44" s="40"/>
      <c r="B44" s="18" t="s">
        <v>261</v>
      </c>
      <c r="C44" s="7"/>
      <c r="D44" s="361">
        <v>0</v>
      </c>
      <c r="E44" s="7"/>
      <c r="F44" s="19" t="s">
        <v>190</v>
      </c>
      <c r="G44" s="7"/>
      <c r="H44" s="356">
        <f>Sprayer</f>
        <v>2</v>
      </c>
      <c r="I44" s="7"/>
      <c r="J44" s="20">
        <f>D44*H44</f>
        <v>0</v>
      </c>
    </row>
    <row r="45" spans="1:10" x14ac:dyDescent="0.2">
      <c r="A45" s="40"/>
      <c r="B45" s="18" t="s">
        <v>197</v>
      </c>
      <c r="C45" s="7"/>
      <c r="D45" s="361">
        <v>1</v>
      </c>
      <c r="E45" s="7"/>
      <c r="F45" s="19" t="s">
        <v>190</v>
      </c>
      <c r="G45" s="7"/>
      <c r="H45" s="356">
        <f>Aerial</f>
        <v>8.9499999999999993</v>
      </c>
      <c r="I45" s="7"/>
      <c r="J45" s="20">
        <f>D45*H45</f>
        <v>8.9499999999999993</v>
      </c>
    </row>
    <row r="46" spans="1:10" x14ac:dyDescent="0.2">
      <c r="A46" s="40"/>
      <c r="B46" s="18" t="s">
        <v>195</v>
      </c>
      <c r="C46" s="7"/>
      <c r="D46" s="361">
        <v>1</v>
      </c>
      <c r="E46" s="7"/>
      <c r="F46" s="19" t="s">
        <v>190</v>
      </c>
      <c r="G46" s="7"/>
      <c r="H46" s="356">
        <f>Shooter</f>
        <v>2.5</v>
      </c>
      <c r="I46" s="7"/>
      <c r="J46" s="20">
        <f>D46*H46</f>
        <v>2.5</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61"/>
      <c r="I48" s="7"/>
      <c r="J48" s="20"/>
    </row>
    <row r="49" spans="1:33" x14ac:dyDescent="0.2">
      <c r="A49" s="40"/>
      <c r="B49" s="52" t="s">
        <v>153</v>
      </c>
      <c r="C49" s="7"/>
      <c r="D49" s="44"/>
      <c r="E49" s="7"/>
      <c r="F49" s="8"/>
      <c r="G49" s="7"/>
      <c r="H49" s="61"/>
      <c r="I49" s="7"/>
      <c r="J49" s="324">
        <f>SUM(J50:J52)</f>
        <v>18</v>
      </c>
    </row>
    <row r="50" spans="1:33" x14ac:dyDescent="0.2">
      <c r="A50" s="40"/>
      <c r="B50" s="18" t="s">
        <v>192</v>
      </c>
      <c r="C50" s="7"/>
      <c r="D50" s="43">
        <v>1</v>
      </c>
      <c r="E50" s="7"/>
      <c r="F50" s="19" t="s">
        <v>190</v>
      </c>
      <c r="G50" s="7"/>
      <c r="H50" s="358">
        <v>18</v>
      </c>
      <c r="I50" s="7"/>
      <c r="J50" s="20">
        <f>D50*H50</f>
        <v>18</v>
      </c>
    </row>
    <row r="51" spans="1:33" x14ac:dyDescent="0.2">
      <c r="A51" s="40"/>
      <c r="B51" s="33" t="s">
        <v>172</v>
      </c>
      <c r="C51" s="7"/>
      <c r="D51" s="43"/>
      <c r="E51" s="7"/>
      <c r="F51" s="19"/>
      <c r="G51" s="7"/>
      <c r="H51" s="45"/>
      <c r="I51" s="7"/>
      <c r="J51" s="20">
        <f>D51*H51</f>
        <v>0</v>
      </c>
    </row>
    <row r="52" spans="1:33" x14ac:dyDescent="0.2">
      <c r="A52" s="197"/>
      <c r="B52" s="33" t="s">
        <v>240</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329</v>
      </c>
      <c r="C54" s="7"/>
      <c r="D54" s="44"/>
      <c r="E54" s="7"/>
      <c r="F54" s="8"/>
      <c r="G54" s="7"/>
      <c r="H54" s="44"/>
      <c r="I54" s="7"/>
      <c r="J54" s="20">
        <f>+(J18+J21+J28+J37+J43+J49)*operloan*0.5</f>
        <v>6.4211223198007668</v>
      </c>
    </row>
    <row r="55" spans="1:33" ht="5.25" customHeight="1" x14ac:dyDescent="0.2">
      <c r="A55" s="40"/>
      <c r="B55" s="7"/>
      <c r="C55" s="7"/>
      <c r="D55" s="44"/>
      <c r="E55" s="7"/>
      <c r="F55" s="8"/>
      <c r="G55" s="7"/>
      <c r="H55" s="44"/>
      <c r="I55" s="7"/>
      <c r="J55" s="20"/>
    </row>
    <row r="56" spans="1:33" x14ac:dyDescent="0.2">
      <c r="A56" s="40"/>
      <c r="B56" s="52" t="s">
        <v>232</v>
      </c>
      <c r="C56" s="52"/>
      <c r="D56" s="65"/>
      <c r="E56" s="52"/>
      <c r="F56" s="53"/>
      <c r="G56" s="52"/>
      <c r="H56" s="65"/>
      <c r="I56" s="52"/>
      <c r="J56" s="54">
        <f>SUM(J18:J54)-(J18+J21+J28+J37+J43+J49)</f>
        <v>229.76450735634921</v>
      </c>
    </row>
    <row r="57" spans="1:33" x14ac:dyDescent="0.2">
      <c r="A57" s="40"/>
      <c r="B57" s="7" t="s">
        <v>233</v>
      </c>
      <c r="C57" s="7"/>
      <c r="D57" s="44"/>
      <c r="E57" s="7"/>
      <c r="F57" s="8"/>
      <c r="G57" s="7"/>
      <c r="H57" s="44"/>
      <c r="I57" s="7"/>
      <c r="J57" s="20">
        <f>J56/D14</f>
        <v>0.15317633823756613</v>
      </c>
    </row>
    <row r="58" spans="1:33" ht="5.25" customHeight="1" x14ac:dyDescent="0.2">
      <c r="A58" s="40"/>
      <c r="B58" s="7"/>
      <c r="C58" s="7"/>
      <c r="D58" s="44"/>
      <c r="E58" s="7"/>
      <c r="F58" s="8"/>
      <c r="G58" s="7"/>
      <c r="H58" s="44"/>
      <c r="I58" s="7"/>
      <c r="J58" s="20"/>
    </row>
    <row r="59" spans="1:33" s="47" customFormat="1" x14ac:dyDescent="0.2">
      <c r="A59" s="46"/>
      <c r="B59" s="62" t="s">
        <v>234</v>
      </c>
      <c r="C59" s="62"/>
      <c r="D59" s="63"/>
      <c r="E59" s="62"/>
      <c r="F59" s="64"/>
      <c r="G59" s="62"/>
      <c r="H59" s="63"/>
      <c r="I59" s="62"/>
      <c r="J59" s="96">
        <f>J14-J56</f>
        <v>10.235492643650787</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325</v>
      </c>
      <c r="C60" s="7"/>
      <c r="D60" s="44"/>
      <c r="E60" s="7"/>
      <c r="F60" s="8"/>
      <c r="G60" s="7"/>
      <c r="H60" s="44"/>
      <c r="I60" s="7"/>
      <c r="J60" s="20"/>
    </row>
    <row r="61" spans="1:33" x14ac:dyDescent="0.2">
      <c r="A61" s="40"/>
      <c r="B61" s="417" t="s">
        <v>477</v>
      </c>
      <c r="C61" s="95"/>
      <c r="D61" s="59"/>
      <c r="E61" s="7"/>
      <c r="F61" s="19" t="s">
        <v>190</v>
      </c>
      <c r="G61" s="7"/>
      <c r="H61" s="353">
        <f>'Machinery Costs'!C264</f>
        <v>17.21</v>
      </c>
      <c r="I61" s="7"/>
      <c r="J61" s="20">
        <f>H61</f>
        <v>17.21</v>
      </c>
      <c r="L61" s="42"/>
      <c r="AG61" s="40"/>
    </row>
    <row r="62" spans="1:33" x14ac:dyDescent="0.2">
      <c r="A62" s="40"/>
      <c r="B62" s="417" t="s">
        <v>478</v>
      </c>
      <c r="C62" s="95"/>
      <c r="D62" s="59"/>
      <c r="E62" s="7"/>
      <c r="F62" s="19" t="s">
        <v>190</v>
      </c>
      <c r="G62" s="7"/>
      <c r="H62" s="353">
        <f>'Machinery Costs'!D264</f>
        <v>12.731</v>
      </c>
      <c r="I62" s="7"/>
      <c r="J62" s="20">
        <f>H62</f>
        <v>12.731</v>
      </c>
      <c r="L62" s="42"/>
      <c r="AG62" s="40"/>
    </row>
    <row r="63" spans="1:33" x14ac:dyDescent="0.2">
      <c r="A63" s="40"/>
      <c r="B63" s="417" t="s">
        <v>479</v>
      </c>
      <c r="C63" s="95"/>
      <c r="D63" s="59"/>
      <c r="E63" s="7"/>
      <c r="F63" s="19" t="s">
        <v>190</v>
      </c>
      <c r="G63" s="7"/>
      <c r="H63" s="353">
        <f>'Machinery Costs'!E264</f>
        <v>5.093</v>
      </c>
      <c r="I63" s="7"/>
      <c r="J63" s="20">
        <f>H63</f>
        <v>5.093</v>
      </c>
      <c r="L63" s="42"/>
      <c r="AG63" s="40"/>
    </row>
    <row r="64" spans="1:33" x14ac:dyDescent="0.2">
      <c r="A64" s="40"/>
      <c r="B64" s="18" t="s">
        <v>266</v>
      </c>
      <c r="C64" s="7"/>
      <c r="D64" s="7"/>
      <c r="E64" s="7"/>
      <c r="F64" s="19" t="s">
        <v>190</v>
      </c>
      <c r="G64" s="7"/>
      <c r="H64" s="79">
        <f>ROUND((D14*H14)*D66-(J21+J28+H50)*D66, 0)</f>
        <v>42</v>
      </c>
      <c r="I64" s="7"/>
      <c r="J64" s="20">
        <f>+H64</f>
        <v>42</v>
      </c>
    </row>
    <row r="65" spans="1:32" ht="12.75" customHeight="1" x14ac:dyDescent="0.2">
      <c r="A65" s="40"/>
      <c r="B65" s="7" t="s">
        <v>267</v>
      </c>
      <c r="C65" s="7"/>
      <c r="D65" s="44"/>
      <c r="E65" s="7"/>
      <c r="F65" s="8"/>
      <c r="G65" s="7"/>
      <c r="H65" s="93"/>
      <c r="I65" s="7"/>
      <c r="J65" s="20"/>
    </row>
    <row r="66" spans="1:32" ht="12.75" customHeight="1" x14ac:dyDescent="0.2">
      <c r="A66" s="40"/>
      <c r="B66" s="7" t="s">
        <v>268</v>
      </c>
      <c r="C66" s="7"/>
      <c r="D66" s="372">
        <v>0.33</v>
      </c>
      <c r="E66" s="7"/>
      <c r="F66" s="8"/>
      <c r="G66" s="7"/>
      <c r="H66" s="61"/>
      <c r="I66" s="7"/>
      <c r="J66" s="20"/>
    </row>
    <row r="67" spans="1:32" ht="12.75" customHeight="1" x14ac:dyDescent="0.2">
      <c r="A67" s="40"/>
      <c r="B67" s="7" t="s">
        <v>269</v>
      </c>
      <c r="C67" s="7"/>
      <c r="D67" s="372">
        <v>0.67</v>
      </c>
      <c r="E67" s="7"/>
      <c r="F67" s="8"/>
      <c r="G67" s="7"/>
      <c r="H67" s="61"/>
      <c r="I67" s="7"/>
      <c r="J67" s="20"/>
    </row>
    <row r="68" spans="1:32" x14ac:dyDescent="0.2">
      <c r="A68" s="40"/>
      <c r="B68" s="51"/>
      <c r="C68" s="51"/>
      <c r="D68" s="74"/>
      <c r="E68" s="51"/>
      <c r="F68" s="74"/>
      <c r="G68" s="7"/>
      <c r="H68" s="44"/>
      <c r="I68" s="7"/>
      <c r="J68" s="20"/>
    </row>
    <row r="69" spans="1:32" ht="12.95" customHeight="1" x14ac:dyDescent="0.2">
      <c r="A69" s="197"/>
      <c r="B69" s="147" t="s">
        <v>61</v>
      </c>
      <c r="C69" s="51"/>
      <c r="D69" s="74"/>
      <c r="E69" s="51"/>
      <c r="F69" s="74"/>
      <c r="G69" s="7"/>
      <c r="H69" s="44"/>
      <c r="I69" s="7"/>
      <c r="J69" s="20">
        <f>ROUND(($J$18+$J$21+$J$28+$J$37+$J$43+$J$49)*oh, 0)</f>
        <v>6</v>
      </c>
      <c r="K69" s="197"/>
      <c r="L69" s="197"/>
      <c r="M69" s="197"/>
      <c r="N69" s="197"/>
      <c r="O69" s="197"/>
      <c r="P69" s="197"/>
      <c r="Q69" s="197"/>
      <c r="R69" s="197"/>
      <c r="S69" s="197"/>
      <c r="T69" s="197"/>
      <c r="U69" s="197"/>
      <c r="V69" s="197"/>
      <c r="W69" s="197"/>
      <c r="X69" s="197"/>
      <c r="Y69" s="197"/>
      <c r="Z69" s="197"/>
      <c r="AA69" s="197"/>
      <c r="AB69" s="197"/>
      <c r="AC69" s="197"/>
      <c r="AD69" s="197"/>
      <c r="AE69" s="197"/>
      <c r="AF69" s="197"/>
    </row>
    <row r="70" spans="1:32" ht="12.95" customHeight="1" x14ac:dyDescent="0.2">
      <c r="A70" s="197"/>
      <c r="B70" s="147" t="s">
        <v>330</v>
      </c>
      <c r="C70" s="94"/>
      <c r="D70" s="59"/>
      <c r="E70" s="7"/>
      <c r="F70" s="8"/>
      <c r="G70" s="7"/>
      <c r="H70" s="44"/>
      <c r="I70" s="7"/>
      <c r="J70" s="20">
        <f>($J$14)*MF</f>
        <v>12</v>
      </c>
      <c r="K70" s="197"/>
      <c r="L70" s="197"/>
      <c r="M70" s="197"/>
      <c r="N70" s="197"/>
      <c r="O70" s="197"/>
      <c r="P70" s="197"/>
      <c r="Q70" s="197"/>
      <c r="R70" s="197"/>
      <c r="S70" s="197"/>
      <c r="T70" s="197"/>
      <c r="U70" s="197"/>
      <c r="V70" s="197"/>
      <c r="W70" s="197"/>
      <c r="X70" s="197"/>
      <c r="Y70" s="197"/>
      <c r="Z70" s="197"/>
      <c r="AA70" s="197"/>
      <c r="AB70" s="197"/>
      <c r="AC70" s="197"/>
      <c r="AD70" s="197"/>
      <c r="AE70" s="197"/>
      <c r="AF70" s="197"/>
    </row>
    <row r="71" spans="1:32" ht="5.25" customHeight="1" x14ac:dyDescent="0.2">
      <c r="A71" s="40"/>
      <c r="B71" s="7"/>
      <c r="C71" s="7"/>
      <c r="D71" s="44"/>
      <c r="E71" s="7"/>
      <c r="F71" s="8"/>
      <c r="G71" s="7"/>
      <c r="H71" s="44"/>
      <c r="I71" s="7"/>
      <c r="J71" s="20"/>
    </row>
    <row r="72" spans="1:32" x14ac:dyDescent="0.2">
      <c r="A72" s="40"/>
      <c r="B72" s="52" t="s">
        <v>230</v>
      </c>
      <c r="C72" s="52"/>
      <c r="D72" s="65"/>
      <c r="E72" s="52"/>
      <c r="F72" s="53"/>
      <c r="G72" s="52"/>
      <c r="H72" s="65"/>
      <c r="I72" s="52"/>
      <c r="J72" s="54">
        <f>SUM(J60:J70)</f>
        <v>95.034000000000006</v>
      </c>
    </row>
    <row r="73" spans="1:32" x14ac:dyDescent="0.2">
      <c r="A73" s="40"/>
      <c r="B73" s="7" t="s">
        <v>231</v>
      </c>
      <c r="C73" s="7"/>
      <c r="D73" s="44"/>
      <c r="E73" s="7"/>
      <c r="F73" s="8"/>
      <c r="G73" s="7"/>
      <c r="H73" s="44"/>
      <c r="I73" s="7"/>
      <c r="J73" s="20">
        <f>J72/D14</f>
        <v>6.335600000000001E-2</v>
      </c>
    </row>
    <row r="74" spans="1:32" x14ac:dyDescent="0.2">
      <c r="A74" s="40"/>
      <c r="B74" s="7"/>
      <c r="C74" s="7"/>
      <c r="D74" s="44"/>
      <c r="E74" s="7"/>
      <c r="F74" s="8"/>
      <c r="G74" s="7"/>
      <c r="H74" s="44"/>
      <c r="I74" s="7"/>
      <c r="J74" s="20"/>
    </row>
    <row r="75" spans="1:32" x14ac:dyDescent="0.2">
      <c r="A75" s="40"/>
      <c r="B75" s="52" t="s">
        <v>94</v>
      </c>
      <c r="C75" s="52"/>
      <c r="D75" s="65"/>
      <c r="E75" s="52"/>
      <c r="F75" s="53"/>
      <c r="G75" s="52"/>
      <c r="H75" s="65"/>
      <c r="I75" s="52"/>
      <c r="J75" s="54">
        <f>J56+J72</f>
        <v>324.79850735634921</v>
      </c>
    </row>
    <row r="76" spans="1:32" s="50" customFormat="1" x14ac:dyDescent="0.2">
      <c r="A76" s="68"/>
      <c r="B76" s="69" t="s">
        <v>95</v>
      </c>
      <c r="C76" s="69"/>
      <c r="D76" s="75"/>
      <c r="E76" s="69"/>
      <c r="F76" s="70"/>
      <c r="G76" s="69"/>
      <c r="H76" s="75"/>
      <c r="I76" s="69"/>
      <c r="J76" s="71">
        <f>J75/D14</f>
        <v>0.21653233823756612</v>
      </c>
      <c r="K76" s="68"/>
      <c r="L76" s="68"/>
      <c r="M76" s="68"/>
      <c r="N76" s="68"/>
      <c r="O76" s="68"/>
      <c r="P76" s="68"/>
      <c r="Q76" s="68"/>
      <c r="R76" s="68"/>
      <c r="S76" s="68"/>
      <c r="T76" s="68"/>
      <c r="U76" s="68"/>
      <c r="V76" s="68"/>
      <c r="W76" s="68"/>
      <c r="X76" s="68"/>
      <c r="Y76" s="68"/>
      <c r="Z76" s="68"/>
      <c r="AA76" s="68"/>
      <c r="AB76" s="68"/>
      <c r="AC76" s="68"/>
      <c r="AD76" s="68"/>
      <c r="AE76" s="68"/>
      <c r="AF76" s="68"/>
    </row>
    <row r="77" spans="1:32" x14ac:dyDescent="0.2">
      <c r="A77" s="40"/>
      <c r="B77" s="7"/>
      <c r="C77" s="7"/>
      <c r="D77" s="44"/>
      <c r="E77" s="7"/>
      <c r="F77" s="8"/>
      <c r="G77" s="7"/>
      <c r="H77" s="44"/>
      <c r="I77" s="7"/>
      <c r="J77" s="20"/>
    </row>
    <row r="78" spans="1:32" s="47" customFormat="1" x14ac:dyDescent="0.2">
      <c r="A78" s="46"/>
      <c r="B78" s="52" t="s">
        <v>96</v>
      </c>
      <c r="C78" s="52"/>
      <c r="D78" s="65"/>
      <c r="E78" s="52"/>
      <c r="F78" s="53"/>
      <c r="G78" s="52"/>
      <c r="H78" s="65"/>
      <c r="I78" s="52"/>
      <c r="J78" s="54">
        <f>J14-J75</f>
        <v>-84.798507356349205</v>
      </c>
      <c r="K78" s="46"/>
      <c r="L78" s="46"/>
      <c r="M78" s="46"/>
      <c r="N78" s="46"/>
      <c r="O78" s="46"/>
      <c r="P78" s="46"/>
      <c r="Q78" s="46"/>
      <c r="R78" s="46"/>
      <c r="S78" s="46"/>
      <c r="T78" s="46"/>
      <c r="U78" s="46"/>
      <c r="V78" s="46"/>
      <c r="W78" s="46"/>
      <c r="X78" s="46"/>
      <c r="Y78" s="46"/>
      <c r="Z78" s="46"/>
      <c r="AA78" s="46"/>
      <c r="AB78" s="46"/>
      <c r="AC78" s="46"/>
      <c r="AD78" s="46"/>
      <c r="AE78" s="46"/>
      <c r="AF78" s="46"/>
    </row>
    <row r="79" spans="1:32" x14ac:dyDescent="0.2">
      <c r="A79" s="40"/>
      <c r="B79" s="3"/>
      <c r="C79" s="3"/>
      <c r="D79" s="2"/>
      <c r="E79" s="3"/>
      <c r="F79" s="4"/>
      <c r="G79" s="3"/>
      <c r="H79" s="2"/>
      <c r="I79" s="3"/>
      <c r="J79" s="5"/>
    </row>
    <row r="80" spans="1:32" x14ac:dyDescent="0.2">
      <c r="A80" s="40"/>
      <c r="B80" s="56" t="s">
        <v>97</v>
      </c>
      <c r="C80" s="56"/>
      <c r="D80" s="76"/>
      <c r="E80" s="56"/>
      <c r="F80" s="57"/>
      <c r="G80" s="56"/>
      <c r="H80" s="76"/>
      <c r="I80" s="56"/>
      <c r="J80" s="56"/>
    </row>
    <row r="81" spans="1:10" s="457" customFormat="1" ht="15.6" customHeight="1" x14ac:dyDescent="0.2">
      <c r="B81" s="563" t="s">
        <v>466</v>
      </c>
      <c r="C81" s="563"/>
      <c r="D81" s="563"/>
      <c r="E81" s="563"/>
      <c r="F81" s="563"/>
      <c r="G81" s="563"/>
      <c r="H81" s="563"/>
      <c r="I81" s="563"/>
      <c r="J81" s="563"/>
    </row>
    <row r="82" spans="1:10" s="197" customFormat="1" ht="16.5" customHeight="1" x14ac:dyDescent="0.2">
      <c r="B82" s="563" t="s">
        <v>338</v>
      </c>
      <c r="C82" s="563"/>
      <c r="D82" s="563"/>
      <c r="E82" s="563"/>
      <c r="F82" s="563"/>
      <c r="G82" s="563"/>
      <c r="H82" s="563"/>
      <c r="I82" s="563"/>
      <c r="J82" s="563"/>
    </row>
    <row r="83" spans="1:10" s="197" customFormat="1" ht="30" customHeight="1" x14ac:dyDescent="0.2">
      <c r="B83" s="568" t="s">
        <v>339</v>
      </c>
      <c r="C83" s="569"/>
      <c r="D83" s="569"/>
      <c r="E83" s="569"/>
      <c r="F83" s="569"/>
      <c r="G83" s="569"/>
      <c r="H83" s="569"/>
      <c r="I83" s="569"/>
      <c r="J83" s="569"/>
    </row>
    <row r="84" spans="1:10" x14ac:dyDescent="0.2">
      <c r="A84" s="40"/>
      <c r="B84" s="7"/>
      <c r="C84" s="7"/>
      <c r="D84" s="44"/>
      <c r="E84" s="7"/>
      <c r="F84" s="8"/>
      <c r="G84" s="7"/>
      <c r="H84" s="44"/>
      <c r="I84" s="7"/>
      <c r="J84" s="7"/>
    </row>
    <row r="85" spans="1:10" x14ac:dyDescent="0.2">
      <c r="A85" s="40"/>
      <c r="B85" s="22" t="s">
        <v>98</v>
      </c>
      <c r="C85" s="7"/>
      <c r="D85" s="23" t="s">
        <v>99</v>
      </c>
      <c r="E85" s="7"/>
      <c r="F85" s="8"/>
      <c r="G85" s="7"/>
      <c r="H85" s="23" t="s">
        <v>101</v>
      </c>
      <c r="I85" s="7"/>
      <c r="J85" s="7"/>
    </row>
    <row r="86" spans="1:10" x14ac:dyDescent="0.2">
      <c r="A86" s="40"/>
      <c r="B86" s="7"/>
      <c r="C86" s="7"/>
      <c r="D86" s="24">
        <v>0.1</v>
      </c>
      <c r="E86" s="7"/>
      <c r="F86" s="8" t="s">
        <v>100</v>
      </c>
      <c r="G86" s="7"/>
      <c r="H86" s="24">
        <v>0.1</v>
      </c>
      <c r="I86" s="7"/>
      <c r="J86" s="7"/>
    </row>
    <row r="87" spans="1:10" x14ac:dyDescent="0.2">
      <c r="A87" s="40"/>
      <c r="B87" s="7"/>
      <c r="C87" s="7"/>
      <c r="D87" s="25"/>
      <c r="E87" s="3"/>
      <c r="F87" s="2" t="s">
        <v>102</v>
      </c>
      <c r="G87" s="3"/>
      <c r="H87" s="25"/>
      <c r="I87" s="7"/>
      <c r="J87" s="7"/>
    </row>
    <row r="88" spans="1:10" x14ac:dyDescent="0.2">
      <c r="A88" s="40"/>
      <c r="B88" s="26" t="s">
        <v>169</v>
      </c>
      <c r="C88" s="7"/>
      <c r="D88" s="151">
        <f>F88*(1-D86)</f>
        <v>1350</v>
      </c>
      <c r="E88" s="27"/>
      <c r="F88" s="28">
        <f>D14</f>
        <v>1500</v>
      </c>
      <c r="G88" s="27"/>
      <c r="H88" s="78">
        <f>F88*(1+H86)</f>
        <v>1650.0000000000002</v>
      </c>
      <c r="I88" s="7"/>
      <c r="J88" s="7"/>
    </row>
    <row r="89" spans="1:10" ht="4.5" customHeight="1" x14ac:dyDescent="0.2">
      <c r="A89" s="40"/>
      <c r="B89" s="7"/>
      <c r="C89" s="7"/>
      <c r="D89" s="44"/>
      <c r="E89" s="7"/>
      <c r="F89" s="8"/>
      <c r="G89" s="7"/>
      <c r="H89" s="44"/>
      <c r="I89" s="7"/>
      <c r="J89" s="7"/>
    </row>
    <row r="90" spans="1:10" x14ac:dyDescent="0.2">
      <c r="A90" s="40"/>
      <c r="B90" s="7" t="s">
        <v>170</v>
      </c>
      <c r="C90" s="7"/>
      <c r="D90" s="29">
        <f>$J$56/D88</f>
        <v>0.17019593137507349</v>
      </c>
      <c r="E90" s="7"/>
      <c r="F90" s="29">
        <f>$J$56/F88</f>
        <v>0.15317633823756613</v>
      </c>
      <c r="G90" s="7"/>
      <c r="H90" s="29">
        <f>$J$56/H88</f>
        <v>0.13925121657960557</v>
      </c>
      <c r="I90" s="7"/>
      <c r="J90" s="7"/>
    </row>
    <row r="91" spans="1:10" ht="4.5" customHeight="1" x14ac:dyDescent="0.2">
      <c r="A91" s="40"/>
      <c r="B91" s="7"/>
      <c r="C91" s="7"/>
      <c r="D91" s="44"/>
      <c r="E91" s="7"/>
      <c r="F91" s="8"/>
      <c r="G91" s="7"/>
      <c r="H91" s="44"/>
      <c r="I91" s="7"/>
      <c r="J91" s="7"/>
    </row>
    <row r="92" spans="1:10" x14ac:dyDescent="0.2">
      <c r="A92" s="40"/>
      <c r="B92" s="7" t="s">
        <v>171</v>
      </c>
      <c r="C92" s="7"/>
      <c r="D92" s="29">
        <f>$J$72/D88</f>
        <v>7.0395555555555558E-2</v>
      </c>
      <c r="E92" s="7"/>
      <c r="F92" s="29">
        <f>$J$72/F88</f>
        <v>6.335600000000001E-2</v>
      </c>
      <c r="G92" s="7"/>
      <c r="H92" s="29">
        <f>$J$72/H88</f>
        <v>5.7596363636363633E-2</v>
      </c>
      <c r="I92" s="7"/>
      <c r="J92" s="7"/>
    </row>
    <row r="93" spans="1:10" ht="3.75" customHeight="1" x14ac:dyDescent="0.2">
      <c r="A93" s="40"/>
      <c r="B93" s="7"/>
      <c r="C93" s="7"/>
      <c r="D93" s="44"/>
      <c r="E93" s="7"/>
      <c r="F93" s="8"/>
      <c r="G93" s="7"/>
      <c r="H93" s="44"/>
      <c r="I93" s="7"/>
      <c r="J93" s="7"/>
    </row>
    <row r="94" spans="1:10" x14ac:dyDescent="0.2">
      <c r="A94" s="40"/>
      <c r="B94" s="7" t="s">
        <v>188</v>
      </c>
      <c r="C94" s="7"/>
      <c r="D94" s="29">
        <f>$J$75/D88</f>
        <v>0.24059148693062904</v>
      </c>
      <c r="E94" s="7"/>
      <c r="F94" s="29">
        <f>$J$75/F88</f>
        <v>0.21653233823756612</v>
      </c>
      <c r="G94" s="7"/>
      <c r="H94" s="29">
        <f>$J$75/H88</f>
        <v>0.19684758021596918</v>
      </c>
      <c r="I94" s="7"/>
      <c r="J94" s="7"/>
    </row>
    <row r="95" spans="1:10" ht="12.75" customHeight="1" x14ac:dyDescent="0.2">
      <c r="A95" s="40"/>
      <c r="B95" s="11"/>
      <c r="C95" s="11"/>
      <c r="D95" s="72"/>
      <c r="E95" s="11"/>
      <c r="F95" s="15"/>
      <c r="G95" s="11"/>
      <c r="H95" s="72"/>
      <c r="I95" s="11"/>
      <c r="J95" s="11"/>
    </row>
    <row r="96" spans="1:10" ht="5.25" customHeight="1" x14ac:dyDescent="0.2">
      <c r="A96" s="40"/>
      <c r="B96" s="11"/>
      <c r="C96" s="11"/>
      <c r="D96" s="23" t="s">
        <v>99</v>
      </c>
      <c r="E96" s="7"/>
      <c r="F96" s="8"/>
      <c r="G96" s="7"/>
      <c r="H96" s="23" t="s">
        <v>101</v>
      </c>
      <c r="I96" s="11"/>
      <c r="J96" s="11"/>
    </row>
    <row r="97" spans="1:10" x14ac:dyDescent="0.2">
      <c r="A97" s="40"/>
      <c r="B97" s="7"/>
      <c r="C97" s="7"/>
      <c r="D97" s="24">
        <v>0.1</v>
      </c>
      <c r="E97" s="7"/>
      <c r="F97" s="8" t="s">
        <v>100</v>
      </c>
      <c r="G97" s="7"/>
      <c r="H97" s="24">
        <v>0.1</v>
      </c>
      <c r="I97" s="7"/>
      <c r="J97" s="7"/>
    </row>
    <row r="98" spans="1:10" x14ac:dyDescent="0.2">
      <c r="A98" s="40"/>
      <c r="B98" s="7"/>
      <c r="C98" s="7"/>
      <c r="D98" s="2"/>
      <c r="E98" s="3"/>
      <c r="F98" s="4" t="s">
        <v>169</v>
      </c>
      <c r="G98" s="3"/>
      <c r="H98" s="2"/>
      <c r="I98" s="7"/>
      <c r="J98" s="7"/>
    </row>
    <row r="99" spans="1:10" x14ac:dyDescent="0.2">
      <c r="A99" s="40"/>
      <c r="B99" s="26" t="s">
        <v>102</v>
      </c>
      <c r="C99" s="7"/>
      <c r="D99" s="30">
        <f>F99*(1-D86)</f>
        <v>0.14400000000000002</v>
      </c>
      <c r="E99" s="27"/>
      <c r="F99" s="31">
        <f>H14</f>
        <v>0.16</v>
      </c>
      <c r="G99" s="27"/>
      <c r="H99" s="30">
        <f>F99*(1+H86)</f>
        <v>0.17600000000000002</v>
      </c>
      <c r="I99" s="7"/>
      <c r="J99" s="7"/>
    </row>
    <row r="100" spans="1:10" ht="4.5" customHeight="1" x14ac:dyDescent="0.2">
      <c r="A100" s="40"/>
      <c r="B100" s="7"/>
      <c r="C100" s="7"/>
      <c r="D100" s="44"/>
      <c r="E100" s="7"/>
      <c r="F100" s="8"/>
      <c r="G100" s="7"/>
      <c r="H100" s="44"/>
      <c r="I100" s="7"/>
      <c r="J100" s="7"/>
    </row>
    <row r="101" spans="1:10" x14ac:dyDescent="0.2">
      <c r="A101" s="40"/>
      <c r="B101" s="7" t="s">
        <v>170</v>
      </c>
      <c r="C101" s="7"/>
      <c r="D101" s="32">
        <f>$J$56/D99</f>
        <v>1595.5868566413137</v>
      </c>
      <c r="E101" s="7"/>
      <c r="F101" s="32">
        <f>$J$56/F99</f>
        <v>1436.0281709771825</v>
      </c>
      <c r="G101" s="7"/>
      <c r="H101" s="32">
        <f>$J$56/H99</f>
        <v>1305.4801554338021</v>
      </c>
      <c r="I101" s="7"/>
      <c r="J101" s="7"/>
    </row>
    <row r="102" spans="1:10" ht="3" customHeight="1" x14ac:dyDescent="0.2">
      <c r="A102" s="40"/>
      <c r="B102" s="7"/>
      <c r="C102" s="7"/>
      <c r="D102" s="44"/>
      <c r="E102" s="7"/>
      <c r="F102" s="8"/>
      <c r="G102" s="7"/>
      <c r="H102" s="44"/>
      <c r="I102" s="7"/>
      <c r="J102" s="7"/>
    </row>
    <row r="103" spans="1:10" x14ac:dyDescent="0.2">
      <c r="A103" s="40"/>
      <c r="B103" s="7" t="s">
        <v>171</v>
      </c>
      <c r="C103" s="7"/>
      <c r="D103" s="32">
        <f>$J$72/D99</f>
        <v>659.95833333333326</v>
      </c>
      <c r="E103" s="7"/>
      <c r="F103" s="32">
        <f>$J$72/F99</f>
        <v>593.96249999999998</v>
      </c>
      <c r="G103" s="7"/>
      <c r="H103" s="32">
        <f>$J$72/H99</f>
        <v>539.96590909090912</v>
      </c>
      <c r="I103" s="7"/>
      <c r="J103" s="7"/>
    </row>
    <row r="104" spans="1:10" ht="3.75" customHeight="1" x14ac:dyDescent="0.2">
      <c r="A104" s="40"/>
      <c r="B104" s="7"/>
      <c r="C104" s="7"/>
      <c r="D104" s="44"/>
      <c r="E104" s="7"/>
      <c r="F104" s="8"/>
      <c r="G104" s="7"/>
      <c r="H104" s="44"/>
      <c r="I104" s="7"/>
      <c r="J104" s="7"/>
    </row>
    <row r="105" spans="1:10" x14ac:dyDescent="0.2">
      <c r="A105" s="40"/>
      <c r="B105" s="7" t="s">
        <v>188</v>
      </c>
      <c r="C105" s="7"/>
      <c r="D105" s="32">
        <f>$J$75/D99</f>
        <v>2255.5451899746472</v>
      </c>
      <c r="E105" s="7"/>
      <c r="F105" s="32">
        <f>$J$75/F99</f>
        <v>2029.9906709771824</v>
      </c>
      <c r="G105" s="7"/>
      <c r="H105" s="32">
        <f>$J$75/H99</f>
        <v>1845.4460645247111</v>
      </c>
      <c r="I105" s="7"/>
      <c r="J105" s="7"/>
    </row>
    <row r="106" spans="1:10" ht="5.25" customHeight="1" x14ac:dyDescent="0.2">
      <c r="A106" s="40"/>
      <c r="B106" s="7"/>
      <c r="C106" s="7"/>
      <c r="D106" s="44"/>
      <c r="E106" s="7"/>
      <c r="F106" s="8"/>
      <c r="G106" s="7"/>
      <c r="H106" s="44"/>
      <c r="I106" s="7"/>
      <c r="J106" s="7"/>
    </row>
    <row r="107" spans="1:10" x14ac:dyDescent="0.2">
      <c r="A107" s="40"/>
      <c r="B107" s="3"/>
      <c r="C107" s="3"/>
      <c r="D107" s="2"/>
      <c r="E107" s="3"/>
      <c r="F107" s="4"/>
      <c r="G107" s="3"/>
      <c r="H107" s="2"/>
      <c r="I107" s="3"/>
      <c r="J107" s="3"/>
    </row>
    <row r="108" spans="1:10" x14ac:dyDescent="0.2">
      <c r="A108" s="40"/>
      <c r="B108" s="40"/>
      <c r="C108" s="40"/>
      <c r="D108" s="58"/>
      <c r="E108" s="40"/>
      <c r="F108" s="41"/>
      <c r="G108" s="40"/>
      <c r="H108" s="58"/>
      <c r="I108" s="40"/>
      <c r="J108" s="40"/>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sheetData>
  <customSheetViews>
    <customSheetView guid="{5519EDA0-AC19-11DC-BDFC-0017F2D6B148}" showPageBreaks="1" view="pageLayout">
      <selection activeCell="G17" sqref="G17"/>
      <pageMargins left="0.25" right="0.25" top="0.25" bottom="1" header="0.5" footer="0.5"/>
      <pageSetup paperSize="0" orientation="portrait" horizontalDpi="4294967292" verticalDpi="4294967292"/>
      <headerFooter alignWithMargins="0"/>
    </customSheetView>
  </customSheetViews>
  <mergeCells count="6">
    <mergeCell ref="B3:J3"/>
    <mergeCell ref="B6:J6"/>
    <mergeCell ref="B83:J83"/>
    <mergeCell ref="B8:J8"/>
    <mergeCell ref="B81:J81"/>
    <mergeCell ref="B82:J82"/>
  </mergeCells>
  <phoneticPr fontId="7" type="noConversion"/>
  <printOptions horizontalCentered="1"/>
  <pageMargins left="0.75" right="0.75" top="1" bottom="1" header="0" footer="0.5"/>
  <pageSetup scale="99" fitToHeight="2" orientation="portrait" r:id="rId1"/>
  <headerFooter alignWithMargins="0">
    <oddFooter>&amp;L&amp;A&amp;C                         &amp;F&amp;R&amp;D</oddFooter>
  </headerFooter>
  <rowBreaks count="1" manualBreakCount="1">
    <brk id="59" min="1" max="9" man="1"/>
  </rowBreaks>
  <ignoredErrors>
    <ignoredError sqref="J47 J51 J56"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zoomScaleNormal="100" workbookViewId="0">
      <selection activeCell="B3" sqref="B3"/>
    </sheetView>
  </sheetViews>
  <sheetFormatPr defaultColWidth="11.42578125" defaultRowHeight="12.75" x14ac:dyDescent="0.2"/>
  <cols>
    <col min="1" max="1" width="3.140625" style="40" customWidth="1"/>
    <col min="2" max="2" width="11" customWidth="1"/>
    <col min="3" max="3" width="18.5703125" customWidth="1"/>
    <col min="4" max="4" width="31.7109375" customWidth="1"/>
    <col min="5" max="5" width="45.28515625" customWidth="1"/>
    <col min="6" max="10" width="11.42578125" style="40" customWidth="1"/>
  </cols>
  <sheetData>
    <row r="1" spans="2:5" ht="15" customHeight="1" x14ac:dyDescent="0.2">
      <c r="B1" s="40"/>
      <c r="C1" s="40"/>
      <c r="D1" s="40"/>
      <c r="E1" s="40"/>
    </row>
    <row r="2" spans="2:5" ht="31.5" customHeight="1" x14ac:dyDescent="0.25">
      <c r="B2" s="571" t="s">
        <v>538</v>
      </c>
      <c r="C2" s="578"/>
      <c r="D2" s="578"/>
      <c r="E2" s="578"/>
    </row>
    <row r="3" spans="2:5" ht="6" customHeight="1" x14ac:dyDescent="0.25">
      <c r="B3" s="180"/>
      <c r="C3" s="175"/>
      <c r="D3" s="175"/>
      <c r="E3" s="175"/>
    </row>
    <row r="4" spans="2:5" ht="33" customHeight="1" x14ac:dyDescent="0.2">
      <c r="B4" s="176" t="s">
        <v>287</v>
      </c>
      <c r="C4" s="176" t="s">
        <v>289</v>
      </c>
      <c r="D4" s="176" t="s">
        <v>291</v>
      </c>
      <c r="E4" s="176" t="s">
        <v>292</v>
      </c>
    </row>
    <row r="5" spans="2:5" x14ac:dyDescent="0.2">
      <c r="B5" s="38"/>
      <c r="C5" s="38"/>
      <c r="D5" s="449"/>
      <c r="E5" s="38"/>
    </row>
    <row r="6" spans="2:5" x14ac:dyDescent="0.2">
      <c r="B6" s="5" t="s">
        <v>271</v>
      </c>
      <c r="C6" s="5" t="s">
        <v>272</v>
      </c>
      <c r="D6" s="5" t="s">
        <v>20</v>
      </c>
      <c r="E6" s="5"/>
    </row>
    <row r="7" spans="2:5" x14ac:dyDescent="0.2">
      <c r="B7" s="67"/>
      <c r="C7" s="67"/>
      <c r="D7" s="67"/>
      <c r="E7" s="67"/>
    </row>
    <row r="8" spans="2:5" x14ac:dyDescent="0.2">
      <c r="B8" s="67" t="s">
        <v>154</v>
      </c>
      <c r="C8" s="67" t="s">
        <v>272</v>
      </c>
      <c r="D8" s="67" t="s">
        <v>21</v>
      </c>
      <c r="E8" s="67"/>
    </row>
    <row r="9" spans="2:5" x14ac:dyDescent="0.2">
      <c r="B9" s="38"/>
      <c r="C9" s="38"/>
      <c r="D9" s="38" t="s">
        <v>22</v>
      </c>
      <c r="E9" s="38"/>
    </row>
    <row r="10" spans="2:5" x14ac:dyDescent="0.2">
      <c r="B10" s="5" t="s">
        <v>154</v>
      </c>
      <c r="C10" s="5" t="s">
        <v>260</v>
      </c>
      <c r="D10" s="5" t="s">
        <v>272</v>
      </c>
      <c r="E10" s="5"/>
    </row>
    <row r="11" spans="2:5" x14ac:dyDescent="0.2">
      <c r="B11" s="67"/>
      <c r="C11" s="67"/>
      <c r="D11" s="67"/>
      <c r="E11" s="67" t="s">
        <v>178</v>
      </c>
    </row>
    <row r="12" spans="2:5" x14ac:dyDescent="0.2">
      <c r="B12" s="67" t="s">
        <v>154</v>
      </c>
      <c r="C12" s="67" t="s">
        <v>229</v>
      </c>
      <c r="D12" s="67" t="s">
        <v>23</v>
      </c>
      <c r="E12" s="67" t="s">
        <v>282</v>
      </c>
    </row>
    <row r="13" spans="2:5" x14ac:dyDescent="0.2">
      <c r="B13" s="38"/>
      <c r="C13" s="38"/>
      <c r="D13" s="38" t="s">
        <v>25</v>
      </c>
      <c r="E13" s="326"/>
    </row>
    <row r="14" spans="2:5" x14ac:dyDescent="0.2">
      <c r="B14" s="5" t="s">
        <v>154</v>
      </c>
      <c r="C14" s="90" t="s">
        <v>260</v>
      </c>
      <c r="D14" s="90" t="s">
        <v>272</v>
      </c>
      <c r="E14" s="90"/>
    </row>
    <row r="15" spans="2:5" x14ac:dyDescent="0.2">
      <c r="B15" s="446"/>
      <c r="C15" s="446"/>
      <c r="D15" s="446"/>
      <c r="E15" s="447" t="s">
        <v>354</v>
      </c>
    </row>
    <row r="16" spans="2:5" x14ac:dyDescent="0.2">
      <c r="B16" s="447" t="s">
        <v>154</v>
      </c>
      <c r="C16" s="447" t="s">
        <v>420</v>
      </c>
      <c r="D16" s="447" t="s">
        <v>449</v>
      </c>
      <c r="E16" s="447" t="s">
        <v>294</v>
      </c>
    </row>
    <row r="17" spans="2:5" x14ac:dyDescent="0.2">
      <c r="B17" s="449"/>
      <c r="C17" s="449"/>
      <c r="D17" s="449"/>
      <c r="E17" s="449"/>
    </row>
    <row r="18" spans="2:5" x14ac:dyDescent="0.2">
      <c r="B18" s="450" t="s">
        <v>275</v>
      </c>
      <c r="C18" s="450" t="s">
        <v>241</v>
      </c>
      <c r="D18" s="450" t="s">
        <v>62</v>
      </c>
      <c r="E18" s="451" t="s">
        <v>355</v>
      </c>
    </row>
    <row r="19" spans="2:5" x14ac:dyDescent="0.2">
      <c r="B19" s="444"/>
      <c r="C19" s="444"/>
      <c r="D19" s="444"/>
      <c r="E19" s="444"/>
    </row>
    <row r="20" spans="2:5" x14ac:dyDescent="0.2">
      <c r="B20" s="445" t="s">
        <v>275</v>
      </c>
      <c r="C20" s="445" t="s">
        <v>155</v>
      </c>
      <c r="D20" s="445"/>
      <c r="E20" s="445"/>
    </row>
    <row r="21" spans="2:5" x14ac:dyDescent="0.2">
      <c r="B21" s="449"/>
      <c r="C21" s="449"/>
      <c r="D21" s="449"/>
      <c r="E21" s="449"/>
    </row>
    <row r="22" spans="2:5" x14ac:dyDescent="0.2">
      <c r="B22" s="450" t="s">
        <v>213</v>
      </c>
      <c r="C22" s="450" t="s">
        <v>118</v>
      </c>
      <c r="D22" s="450" t="s">
        <v>352</v>
      </c>
      <c r="E22" s="451" t="s">
        <v>353</v>
      </c>
    </row>
    <row r="23" spans="2:5" ht="12" customHeight="1" x14ac:dyDescent="0.2">
      <c r="B23" s="444"/>
      <c r="C23" s="444"/>
      <c r="D23" s="444"/>
      <c r="E23" s="444"/>
    </row>
    <row r="24" spans="2:5" ht="12" customHeight="1" x14ac:dyDescent="0.2">
      <c r="B24" s="445" t="s">
        <v>288</v>
      </c>
      <c r="C24" s="445" t="s">
        <v>301</v>
      </c>
      <c r="D24" s="445" t="s">
        <v>28</v>
      </c>
      <c r="E24" s="445"/>
    </row>
    <row r="25" spans="2:5" x14ac:dyDescent="0.2">
      <c r="B25" s="40" t="s">
        <v>214</v>
      </c>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row r="48" spans="2:5"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sheetData>
  <customSheetViews>
    <customSheetView guid="{5519EDA0-AC19-11DC-BDFC-0017F2D6B148}" showPageBreaks="1" view="pageLayout">
      <selection activeCell="B25" sqref="B25"/>
      <pageMargins left="0.75" right="0.75" top="1" bottom="1" header="0.5" footer="0.5"/>
      <pageSetup paperSize="0" orientation="landscape" horizontalDpi="4294967292" verticalDpi="4294967292"/>
      <headerFooter alignWithMargins="0"/>
    </customSheetView>
  </customSheetViews>
  <mergeCells count="1">
    <mergeCell ref="B2:E2"/>
  </mergeCells>
  <phoneticPr fontId="7" type="noConversion"/>
  <printOptions horizontalCentered="1"/>
  <pageMargins left="0.75" right="0.75" top="1" bottom="1" header="0" footer="0.5"/>
  <pageSetup scale="85" orientation="portrait" r:id="rId1"/>
  <headerFooter alignWithMargins="0">
    <oddFooter>&amp;L&amp;A&amp;C                &amp;F&amp;R&amp;D</oddFooter>
  </headerFooter>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zoomScaleNormal="100" workbookViewId="0">
      <selection activeCell="B3" sqref="B3"/>
    </sheetView>
  </sheetViews>
  <sheetFormatPr defaultColWidth="8.7109375" defaultRowHeight="12.75" x14ac:dyDescent="0.2"/>
  <cols>
    <col min="1" max="1" width="4.42578125" style="56" customWidth="1"/>
    <col min="2" max="2" width="23.5703125" style="56" customWidth="1"/>
    <col min="3" max="3" width="13.140625" style="101" bestFit="1" customWidth="1"/>
    <col min="4" max="4" width="10.85546875" style="102" customWidth="1"/>
    <col min="5" max="5" width="9.42578125" style="102" customWidth="1"/>
    <col min="6" max="6" width="10.140625" style="76" customWidth="1"/>
    <col min="7" max="7" width="8.7109375" style="56" customWidth="1"/>
    <col min="8" max="8" width="11.140625" style="56" customWidth="1"/>
    <col min="9" max="9" width="8.7109375" style="56" customWidth="1"/>
    <col min="10" max="10" width="9.42578125" style="56" customWidth="1"/>
    <col min="11" max="11" width="8.7109375" style="56"/>
    <col min="12" max="12" width="10.7109375" style="56" customWidth="1"/>
    <col min="13" max="16384" width="8.7109375" style="56"/>
  </cols>
  <sheetData>
    <row r="2" spans="2:13" ht="18.75" customHeight="1" x14ac:dyDescent="0.2">
      <c r="B2" s="584" t="s">
        <v>539</v>
      </c>
      <c r="C2" s="585"/>
      <c r="D2" s="585"/>
      <c r="E2" s="585"/>
      <c r="F2" s="585"/>
      <c r="G2" s="585"/>
      <c r="H2" s="585"/>
      <c r="I2" s="585"/>
      <c r="J2" s="585"/>
      <c r="K2" s="585"/>
      <c r="L2" s="585"/>
    </row>
    <row r="3" spans="2:13" s="99" customFormat="1" x14ac:dyDescent="0.2">
      <c r="B3" s="107"/>
      <c r="C3" s="111"/>
      <c r="D3" s="115"/>
      <c r="E3" s="115"/>
      <c r="F3" s="115"/>
      <c r="G3" s="107"/>
      <c r="H3" s="119" t="s">
        <v>30</v>
      </c>
      <c r="I3" s="107"/>
      <c r="J3" s="120" t="s">
        <v>31</v>
      </c>
      <c r="K3" s="107"/>
      <c r="L3" s="103"/>
    </row>
    <row r="4" spans="2:13" s="99" customFormat="1" x14ac:dyDescent="0.2">
      <c r="B4" s="108"/>
      <c r="C4" s="112"/>
      <c r="D4" s="116"/>
      <c r="E4" s="116"/>
      <c r="F4" s="109" t="s">
        <v>32</v>
      </c>
      <c r="G4" s="108"/>
      <c r="H4" s="109" t="s">
        <v>33</v>
      </c>
      <c r="I4" s="109" t="s">
        <v>34</v>
      </c>
      <c r="J4" s="109" t="s">
        <v>35</v>
      </c>
      <c r="K4" s="108"/>
      <c r="L4" s="104"/>
    </row>
    <row r="5" spans="2:13" s="99" customFormat="1" x14ac:dyDescent="0.2">
      <c r="B5" s="109" t="s">
        <v>36</v>
      </c>
      <c r="C5" s="113" t="s">
        <v>37</v>
      </c>
      <c r="D5" s="109" t="s">
        <v>38</v>
      </c>
      <c r="E5" s="109" t="s">
        <v>39</v>
      </c>
      <c r="F5" s="109" t="s">
        <v>40</v>
      </c>
      <c r="G5" s="109" t="s">
        <v>41</v>
      </c>
      <c r="H5" s="109" t="s">
        <v>42</v>
      </c>
      <c r="I5" s="109" t="s">
        <v>43</v>
      </c>
      <c r="J5" s="109" t="s">
        <v>44</v>
      </c>
      <c r="K5" s="109" t="s">
        <v>45</v>
      </c>
      <c r="L5" s="105" t="s">
        <v>46</v>
      </c>
    </row>
    <row r="6" spans="2:13" s="99" customFormat="1" x14ac:dyDescent="0.2">
      <c r="B6" s="109" t="s">
        <v>47</v>
      </c>
      <c r="C6" s="113" t="s">
        <v>67</v>
      </c>
      <c r="D6" s="109" t="s">
        <v>68</v>
      </c>
      <c r="E6" s="109" t="s">
        <v>69</v>
      </c>
      <c r="F6" s="109" t="s">
        <v>70</v>
      </c>
      <c r="G6" s="109" t="s">
        <v>67</v>
      </c>
      <c r="H6" s="109" t="s">
        <v>71</v>
      </c>
      <c r="I6" s="109" t="s">
        <v>72</v>
      </c>
      <c r="J6" s="109" t="s">
        <v>73</v>
      </c>
      <c r="K6" s="109" t="s">
        <v>74</v>
      </c>
      <c r="L6" s="105" t="s">
        <v>75</v>
      </c>
    </row>
    <row r="7" spans="2:13" s="99" customFormat="1" x14ac:dyDescent="0.2">
      <c r="B7" s="110"/>
      <c r="C7" s="114" t="s">
        <v>76</v>
      </c>
      <c r="D7" s="117"/>
      <c r="E7" s="117"/>
      <c r="F7" s="117"/>
      <c r="G7" s="118" t="s">
        <v>76</v>
      </c>
      <c r="H7" s="118" t="s">
        <v>76</v>
      </c>
      <c r="I7" s="110"/>
      <c r="J7" s="118" t="s">
        <v>77</v>
      </c>
      <c r="K7" s="110"/>
      <c r="L7" s="106"/>
    </row>
    <row r="8" spans="2:13" x14ac:dyDescent="0.2">
      <c r="B8" s="581" t="s">
        <v>78</v>
      </c>
      <c r="C8" s="582"/>
      <c r="D8" s="582"/>
      <c r="E8" s="582"/>
      <c r="F8" s="582"/>
      <c r="G8" s="582"/>
      <c r="H8" s="582"/>
      <c r="I8" s="582"/>
      <c r="J8" s="582"/>
      <c r="K8" s="582"/>
      <c r="L8" s="583"/>
    </row>
    <row r="9" spans="2:13" x14ac:dyDescent="0.2">
      <c r="B9" s="122" t="s">
        <v>79</v>
      </c>
      <c r="C9" s="123">
        <v>7000</v>
      </c>
      <c r="D9" s="124">
        <v>0</v>
      </c>
      <c r="E9" s="124">
        <v>10</v>
      </c>
      <c r="F9" s="125">
        <v>150</v>
      </c>
      <c r="G9" s="126">
        <v>2000</v>
      </c>
      <c r="H9" s="127">
        <v>100</v>
      </c>
      <c r="I9" s="127">
        <v>1.2</v>
      </c>
      <c r="J9" s="127">
        <v>1.2</v>
      </c>
      <c r="K9" s="127">
        <v>1.1000000000000001</v>
      </c>
      <c r="L9" s="127"/>
    </row>
    <row r="10" spans="2:13" x14ac:dyDescent="0.2">
      <c r="B10" s="296" t="s">
        <v>429</v>
      </c>
      <c r="C10" s="123">
        <v>16000</v>
      </c>
      <c r="D10" s="124">
        <v>5</v>
      </c>
      <c r="E10" s="124">
        <v>20</v>
      </c>
      <c r="F10" s="125">
        <v>150</v>
      </c>
      <c r="G10" s="126">
        <v>3500</v>
      </c>
      <c r="H10" s="127">
        <v>300</v>
      </c>
      <c r="I10" s="127">
        <v>3</v>
      </c>
      <c r="J10" s="127">
        <v>1.2</v>
      </c>
      <c r="K10" s="127">
        <v>1.1000000000000001</v>
      </c>
      <c r="L10" s="127"/>
    </row>
    <row r="11" spans="2:13" x14ac:dyDescent="0.2">
      <c r="B11" s="296" t="s">
        <v>427</v>
      </c>
      <c r="C11" s="123">
        <v>85000</v>
      </c>
      <c r="D11" s="124">
        <v>2</v>
      </c>
      <c r="E11" s="124">
        <v>10</v>
      </c>
      <c r="F11" s="125">
        <v>300</v>
      </c>
      <c r="G11" s="126">
        <v>40000</v>
      </c>
      <c r="H11" s="127">
        <v>1000</v>
      </c>
      <c r="I11" s="127">
        <v>9</v>
      </c>
      <c r="J11" s="127">
        <v>1.2</v>
      </c>
      <c r="K11" s="127">
        <v>1.1000000000000001</v>
      </c>
      <c r="L11" s="127"/>
    </row>
    <row r="12" spans="2:13" x14ac:dyDescent="0.2">
      <c r="B12" s="296" t="s">
        <v>435</v>
      </c>
      <c r="C12" s="123">
        <v>110000</v>
      </c>
      <c r="D12" s="124">
        <v>5</v>
      </c>
      <c r="E12" s="430">
        <v>10</v>
      </c>
      <c r="F12" s="430">
        <v>550</v>
      </c>
      <c r="G12" s="431">
        <v>45000</v>
      </c>
      <c r="H12" s="126">
        <v>3000</v>
      </c>
      <c r="I12" s="127">
        <v>15</v>
      </c>
      <c r="J12" s="127">
        <v>1.2</v>
      </c>
      <c r="K12" s="127">
        <v>1.1000000000000001</v>
      </c>
      <c r="L12" s="127"/>
    </row>
    <row r="13" spans="2:13" x14ac:dyDescent="0.2">
      <c r="B13" s="581" t="s">
        <v>80</v>
      </c>
      <c r="C13" s="582"/>
      <c r="D13" s="582"/>
      <c r="E13" s="582"/>
      <c r="F13" s="582"/>
      <c r="G13" s="582"/>
      <c r="H13" s="582"/>
      <c r="I13" s="582"/>
      <c r="J13" s="582"/>
      <c r="K13" s="582"/>
      <c r="L13" s="583"/>
    </row>
    <row r="14" spans="2:13" x14ac:dyDescent="0.2">
      <c r="B14" s="130" t="s">
        <v>432</v>
      </c>
      <c r="C14" s="424">
        <v>15000</v>
      </c>
      <c r="D14" s="129">
        <v>0</v>
      </c>
      <c r="E14" s="129">
        <v>15</v>
      </c>
      <c r="F14" s="129">
        <v>100</v>
      </c>
      <c r="G14" s="425">
        <v>3000</v>
      </c>
      <c r="H14" s="121">
        <v>500</v>
      </c>
      <c r="I14" s="121">
        <v>10</v>
      </c>
      <c r="J14" s="121">
        <v>0.6</v>
      </c>
      <c r="K14" s="121">
        <v>1.1000000000000001</v>
      </c>
      <c r="L14" s="428" t="s">
        <v>99</v>
      </c>
    </row>
    <row r="15" spans="2:13" x14ac:dyDescent="0.2">
      <c r="B15" s="128" t="s">
        <v>81</v>
      </c>
      <c r="C15" s="432">
        <v>18000</v>
      </c>
      <c r="D15" s="430">
        <v>10</v>
      </c>
      <c r="E15" s="124">
        <v>15</v>
      </c>
      <c r="F15" s="129">
        <v>80</v>
      </c>
      <c r="G15" s="126">
        <v>5000</v>
      </c>
      <c r="H15" s="126">
        <v>600</v>
      </c>
      <c r="I15" s="121">
        <v>15</v>
      </c>
      <c r="J15" s="130">
        <v>0.6</v>
      </c>
      <c r="K15" s="130">
        <v>1.1000000000000001</v>
      </c>
      <c r="L15" s="131">
        <v>6.95</v>
      </c>
    </row>
    <row r="16" spans="2:13" s="100" customFormat="1" x14ac:dyDescent="0.2">
      <c r="B16" s="128" t="s">
        <v>82</v>
      </c>
      <c r="C16" s="132">
        <v>18500</v>
      </c>
      <c r="D16" s="124">
        <v>0</v>
      </c>
      <c r="E16" s="124">
        <v>15</v>
      </c>
      <c r="F16" s="133">
        <v>40</v>
      </c>
      <c r="G16" s="126">
        <v>2000</v>
      </c>
      <c r="H16" s="126">
        <v>700</v>
      </c>
      <c r="I16" s="134">
        <v>15</v>
      </c>
      <c r="J16" s="130">
        <v>0.6</v>
      </c>
      <c r="K16" s="130">
        <v>1.1000000000000001</v>
      </c>
      <c r="L16" s="131">
        <v>12</v>
      </c>
      <c r="M16" s="56"/>
    </row>
    <row r="17" spans="2:13" x14ac:dyDescent="0.2">
      <c r="B17" s="296" t="s">
        <v>433</v>
      </c>
      <c r="C17" s="123">
        <v>19200</v>
      </c>
      <c r="D17" s="124">
        <v>5</v>
      </c>
      <c r="E17" s="124">
        <v>15</v>
      </c>
      <c r="F17" s="125">
        <v>150</v>
      </c>
      <c r="G17" s="126">
        <v>3500</v>
      </c>
      <c r="H17" s="126">
        <v>750</v>
      </c>
      <c r="I17" s="127">
        <v>15</v>
      </c>
      <c r="J17" s="127">
        <v>0.6</v>
      </c>
      <c r="K17" s="127">
        <v>1.1000000000000001</v>
      </c>
      <c r="L17" s="135">
        <v>16.690000000000001</v>
      </c>
    </row>
    <row r="18" spans="2:13" x14ac:dyDescent="0.2">
      <c r="B18" s="296" t="s">
        <v>393</v>
      </c>
      <c r="C18" s="123">
        <v>23500</v>
      </c>
      <c r="D18" s="124">
        <v>5</v>
      </c>
      <c r="E18" s="124">
        <v>15</v>
      </c>
      <c r="F18" s="125">
        <v>35</v>
      </c>
      <c r="G18" s="126">
        <v>4000</v>
      </c>
      <c r="H18" s="126">
        <v>750</v>
      </c>
      <c r="I18" s="127">
        <v>9</v>
      </c>
      <c r="J18" s="127">
        <v>0.6</v>
      </c>
      <c r="K18" s="127">
        <v>1.1000000000000001</v>
      </c>
      <c r="L18" s="135">
        <v>26</v>
      </c>
    </row>
    <row r="19" spans="2:13" x14ac:dyDescent="0.2">
      <c r="B19" s="122" t="s">
        <v>83</v>
      </c>
      <c r="C19" s="123">
        <v>21500</v>
      </c>
      <c r="D19" s="124">
        <v>0</v>
      </c>
      <c r="E19" s="124">
        <v>15</v>
      </c>
      <c r="F19" s="125">
        <v>40</v>
      </c>
      <c r="G19" s="127">
        <v>2000</v>
      </c>
      <c r="H19" s="126">
        <v>750</v>
      </c>
      <c r="I19" s="127">
        <v>15</v>
      </c>
      <c r="J19" s="127">
        <v>0.6</v>
      </c>
      <c r="K19" s="127">
        <v>1.1000000000000001</v>
      </c>
      <c r="L19" s="135">
        <v>23</v>
      </c>
    </row>
    <row r="20" spans="2:13" s="100" customFormat="1" x14ac:dyDescent="0.2">
      <c r="B20" s="122" t="s">
        <v>84</v>
      </c>
      <c r="C20" s="123">
        <v>10000</v>
      </c>
      <c r="D20" s="124">
        <v>5</v>
      </c>
      <c r="E20" s="124">
        <v>15</v>
      </c>
      <c r="F20" s="125">
        <v>25</v>
      </c>
      <c r="G20" s="127">
        <v>1000</v>
      </c>
      <c r="H20" s="126">
        <v>550</v>
      </c>
      <c r="I20" s="433">
        <v>9</v>
      </c>
      <c r="J20" s="127">
        <v>0.6</v>
      </c>
      <c r="K20" s="127">
        <v>1.1000000000000001</v>
      </c>
      <c r="L20" s="135">
        <v>37.090000000000003</v>
      </c>
      <c r="M20" s="56"/>
    </row>
    <row r="21" spans="2:13" s="100" customFormat="1" x14ac:dyDescent="0.2">
      <c r="B21" s="122" t="s">
        <v>428</v>
      </c>
      <c r="C21" s="123">
        <v>35000</v>
      </c>
      <c r="D21" s="124">
        <v>0</v>
      </c>
      <c r="E21" s="124">
        <v>20</v>
      </c>
      <c r="F21" s="125">
        <v>200</v>
      </c>
      <c r="G21" s="127">
        <v>5000</v>
      </c>
      <c r="H21" s="126">
        <v>1700</v>
      </c>
      <c r="I21" s="127">
        <v>8</v>
      </c>
      <c r="J21" s="127">
        <v>0.6</v>
      </c>
      <c r="K21" s="127">
        <v>1.2</v>
      </c>
      <c r="L21" s="135">
        <v>51</v>
      </c>
      <c r="M21" s="56"/>
    </row>
    <row r="22" spans="2:13" s="100" customFormat="1" x14ac:dyDescent="0.2">
      <c r="B22" s="122" t="s">
        <v>425</v>
      </c>
      <c r="C22" s="123" t="s">
        <v>99</v>
      </c>
      <c r="D22" s="124" t="s">
        <v>99</v>
      </c>
      <c r="E22" s="124" t="s">
        <v>99</v>
      </c>
      <c r="F22" s="125" t="s">
        <v>99</v>
      </c>
      <c r="G22" s="127" t="s">
        <v>99</v>
      </c>
      <c r="H22" s="126" t="s">
        <v>99</v>
      </c>
      <c r="I22" s="127">
        <v>14</v>
      </c>
      <c r="J22" s="127" t="s">
        <v>99</v>
      </c>
      <c r="K22" s="127">
        <v>1.2</v>
      </c>
      <c r="L22" s="135">
        <v>19.39</v>
      </c>
      <c r="M22" s="56"/>
    </row>
    <row r="23" spans="2:13" x14ac:dyDescent="0.2">
      <c r="B23" s="122" t="s">
        <v>85</v>
      </c>
      <c r="C23" s="123">
        <v>40000</v>
      </c>
      <c r="D23" s="124">
        <v>2</v>
      </c>
      <c r="E23" s="124">
        <v>10</v>
      </c>
      <c r="F23" s="125">
        <v>180</v>
      </c>
      <c r="G23" s="126">
        <v>10000</v>
      </c>
      <c r="H23" s="126">
        <v>2800</v>
      </c>
      <c r="I23" s="127">
        <v>15</v>
      </c>
      <c r="J23" s="145">
        <v>3</v>
      </c>
      <c r="K23" s="127">
        <v>1.2</v>
      </c>
      <c r="L23" s="135">
        <v>15.55</v>
      </c>
    </row>
    <row r="24" spans="2:13" x14ac:dyDescent="0.2">
      <c r="B24" s="296" t="s">
        <v>431</v>
      </c>
      <c r="C24" s="424">
        <v>300000</v>
      </c>
      <c r="D24" s="124">
        <v>2</v>
      </c>
      <c r="E24" s="124">
        <v>10</v>
      </c>
      <c r="F24" s="124">
        <v>250</v>
      </c>
      <c r="G24" s="425">
        <v>100000</v>
      </c>
      <c r="H24" s="426">
        <v>7500</v>
      </c>
      <c r="I24" s="427">
        <v>10</v>
      </c>
      <c r="J24" s="427">
        <v>2.6</v>
      </c>
      <c r="K24" s="427">
        <v>1.25</v>
      </c>
      <c r="L24" s="131">
        <v>13</v>
      </c>
    </row>
    <row r="25" spans="2:13" x14ac:dyDescent="0.2">
      <c r="B25" s="136" t="s">
        <v>86</v>
      </c>
      <c r="C25" s="137"/>
      <c r="D25" s="138"/>
      <c r="E25" s="138"/>
      <c r="F25" s="139" t="s">
        <v>87</v>
      </c>
      <c r="G25" s="140"/>
      <c r="H25" s="140"/>
      <c r="I25" s="140" t="s">
        <v>88</v>
      </c>
      <c r="J25" s="140"/>
      <c r="K25" s="140"/>
      <c r="L25" s="141"/>
    </row>
    <row r="26" spans="2:13" x14ac:dyDescent="0.2">
      <c r="B26" s="296" t="s">
        <v>89</v>
      </c>
      <c r="C26" s="123">
        <v>20000</v>
      </c>
      <c r="D26" s="124">
        <v>15</v>
      </c>
      <c r="E26" s="124">
        <v>15</v>
      </c>
      <c r="F26" s="123">
        <v>1000</v>
      </c>
      <c r="G26" s="126">
        <v>2000</v>
      </c>
      <c r="H26" s="126">
        <v>1250</v>
      </c>
      <c r="I26" s="127">
        <v>6</v>
      </c>
      <c r="J26" s="127">
        <v>10.1</v>
      </c>
      <c r="K26" s="127">
        <v>1.2</v>
      </c>
      <c r="L26" s="127"/>
    </row>
    <row r="27" spans="2:13" x14ac:dyDescent="0.2">
      <c r="B27" s="296" t="s">
        <v>426</v>
      </c>
      <c r="C27" s="123">
        <v>35000</v>
      </c>
      <c r="D27" s="124">
        <v>10</v>
      </c>
      <c r="E27" s="124">
        <v>15</v>
      </c>
      <c r="F27" s="123">
        <v>7500</v>
      </c>
      <c r="G27" s="126">
        <v>14500</v>
      </c>
      <c r="H27" s="126">
        <v>2000</v>
      </c>
      <c r="I27" s="127">
        <v>6</v>
      </c>
      <c r="J27" s="127">
        <v>10.1</v>
      </c>
      <c r="K27" s="127">
        <v>1.2</v>
      </c>
      <c r="L27" s="127"/>
    </row>
    <row r="28" spans="2:13" x14ac:dyDescent="0.2">
      <c r="B28" s="296" t="s">
        <v>90</v>
      </c>
      <c r="C28" s="123">
        <v>15000</v>
      </c>
      <c r="D28" s="124">
        <v>10</v>
      </c>
      <c r="E28" s="124">
        <v>10</v>
      </c>
      <c r="F28" s="123">
        <v>500</v>
      </c>
      <c r="G28" s="126">
        <v>3000</v>
      </c>
      <c r="H28" s="127">
        <v>400</v>
      </c>
      <c r="I28" s="127">
        <v>12</v>
      </c>
      <c r="J28" s="127">
        <v>3.8</v>
      </c>
      <c r="K28" s="127">
        <v>1.2</v>
      </c>
      <c r="L28" s="127"/>
    </row>
    <row r="29" spans="2:13" x14ac:dyDescent="0.2">
      <c r="B29" s="296" t="s">
        <v>434</v>
      </c>
      <c r="C29" s="123">
        <v>23000</v>
      </c>
      <c r="D29" s="124">
        <v>5</v>
      </c>
      <c r="E29" s="124">
        <v>7</v>
      </c>
      <c r="F29" s="123">
        <v>12000</v>
      </c>
      <c r="G29" s="126">
        <v>7500</v>
      </c>
      <c r="H29" s="126">
        <v>1500</v>
      </c>
      <c r="I29" s="127">
        <v>12</v>
      </c>
      <c r="J29" s="127">
        <v>6.8</v>
      </c>
      <c r="K29" s="127">
        <v>1.2</v>
      </c>
      <c r="L29" s="127"/>
    </row>
    <row r="30" spans="2:13" x14ac:dyDescent="0.2">
      <c r="B30" s="187" t="s">
        <v>316</v>
      </c>
    </row>
    <row r="31" spans="2:13" x14ac:dyDescent="0.2">
      <c r="B31" s="187"/>
    </row>
    <row r="32" spans="2:13" x14ac:dyDescent="0.2">
      <c r="B32" s="187"/>
    </row>
  </sheetData>
  <mergeCells count="3">
    <mergeCell ref="B8:L8"/>
    <mergeCell ref="B13:L13"/>
    <mergeCell ref="B2:L2"/>
  </mergeCells>
  <phoneticPr fontId="7" type="noConversion"/>
  <printOptions horizontalCentered="1"/>
  <pageMargins left="0.75" right="0.75" top="1" bottom="1" header="0" footer="0.5"/>
  <pageSetup scale="95" orientation="landscape"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IE1244"/>
  <sheetViews>
    <sheetView zoomScale="60" zoomScaleNormal="60" workbookViewId="0">
      <selection activeCell="E22" sqref="E22"/>
    </sheetView>
  </sheetViews>
  <sheetFormatPr defaultColWidth="15.5703125" defaultRowHeight="15.75" x14ac:dyDescent="0.25"/>
  <cols>
    <col min="1" max="1" width="4.7109375" style="91" customWidth="1"/>
    <col min="2" max="2" width="39.85546875" style="92" customWidth="1"/>
    <col min="3" max="3" width="12.140625" style="275" customWidth="1"/>
    <col min="4" max="4" width="13.7109375" style="276" customWidth="1"/>
    <col min="5" max="5" width="15.5703125" style="280"/>
    <col min="6" max="6" width="15.5703125" style="276"/>
    <col min="7" max="7" width="15.5703125" style="92"/>
    <col min="8" max="8" width="15.5703125" style="277"/>
    <col min="9" max="9" width="15.5703125" style="92"/>
    <col min="10" max="10" width="15.5703125" style="240"/>
    <col min="11" max="11" width="15.5703125" style="92"/>
    <col min="12" max="12" width="15.5703125" style="91"/>
    <col min="13" max="44" width="15.5703125" style="230"/>
    <col min="45" max="16384" width="15.5703125" style="92"/>
  </cols>
  <sheetData>
    <row r="1" spans="1:44" s="91" customFormat="1" x14ac:dyDescent="0.25">
      <c r="C1" s="227"/>
      <c r="D1" s="228"/>
      <c r="E1" s="278"/>
      <c r="F1" s="228"/>
      <c r="H1" s="229"/>
      <c r="J1" s="227"/>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row>
    <row r="2" spans="1:44" s="91" customFormat="1" ht="18" customHeight="1" x14ac:dyDescent="0.25">
      <c r="B2" s="548" t="s">
        <v>315</v>
      </c>
      <c r="C2" s="549"/>
      <c r="D2" s="549"/>
      <c r="E2" s="549"/>
      <c r="F2" s="549"/>
      <c r="G2" s="549"/>
      <c r="H2" s="549"/>
      <c r="I2" s="549"/>
      <c r="J2" s="227"/>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row>
    <row r="3" spans="1:44" s="91" customFormat="1" x14ac:dyDescent="0.25">
      <c r="B3" s="550" t="s">
        <v>383</v>
      </c>
      <c r="C3" s="550"/>
      <c r="D3" s="550"/>
      <c r="E3" s="550"/>
      <c r="F3" s="550"/>
      <c r="G3" s="550"/>
      <c r="H3" s="550"/>
      <c r="I3" s="550"/>
      <c r="J3" s="227"/>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row>
    <row r="4" spans="1:44" s="91" customFormat="1" x14ac:dyDescent="0.25">
      <c r="B4" s="551" t="s">
        <v>379</v>
      </c>
      <c r="C4" s="552"/>
      <c r="D4" s="552"/>
      <c r="E4" s="552"/>
      <c r="F4" s="552"/>
      <c r="G4" s="552"/>
      <c r="H4" s="552"/>
      <c r="I4" s="552"/>
      <c r="J4" s="227"/>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row>
    <row r="5" spans="1:44" s="91" customFormat="1" x14ac:dyDescent="0.25">
      <c r="B5" s="553" t="s">
        <v>385</v>
      </c>
      <c r="C5" s="553"/>
      <c r="D5" s="553"/>
      <c r="E5" s="553"/>
      <c r="F5" s="553"/>
      <c r="G5" s="553"/>
      <c r="H5" s="553"/>
      <c r="I5" s="553"/>
      <c r="J5" s="227"/>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row>
    <row r="6" spans="1:44" s="91" customFormat="1" x14ac:dyDescent="0.25">
      <c r="B6" s="554" t="s">
        <v>386</v>
      </c>
      <c r="C6" s="555"/>
      <c r="D6" s="555"/>
      <c r="E6" s="555"/>
      <c r="F6" s="555"/>
      <c r="G6" s="555"/>
      <c r="H6" s="555"/>
      <c r="I6" s="555"/>
      <c r="J6" s="227"/>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row>
    <row r="7" spans="1:44" s="91" customFormat="1" ht="9" customHeight="1" x14ac:dyDescent="0.2">
      <c r="E7" s="227"/>
      <c r="J7" s="227"/>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row>
    <row r="8" spans="1:44" s="232" customFormat="1" ht="24.6" customHeight="1" x14ac:dyDescent="0.2">
      <c r="A8" s="143"/>
      <c r="B8" s="546" t="s">
        <v>381</v>
      </c>
      <c r="C8" s="547"/>
      <c r="D8" s="547"/>
      <c r="E8" s="547"/>
      <c r="F8" s="547"/>
      <c r="G8" s="547"/>
      <c r="H8" s="547"/>
      <c r="I8" s="547"/>
      <c r="J8" s="547"/>
      <c r="K8" s="547"/>
      <c r="L8" s="547"/>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row>
    <row r="9" spans="1:44" s="234" customFormat="1" ht="12" customHeight="1" x14ac:dyDescent="0.25">
      <c r="A9" s="143"/>
      <c r="B9" s="144"/>
      <c r="C9" s="233"/>
      <c r="D9" s="233"/>
      <c r="E9" s="236"/>
      <c r="F9" s="233"/>
      <c r="G9" s="233"/>
      <c r="H9" s="233"/>
      <c r="I9" s="233"/>
      <c r="J9" s="233"/>
      <c r="K9" s="233"/>
      <c r="L9" s="233"/>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row>
    <row r="10" spans="1:44" x14ac:dyDescent="0.25">
      <c r="B10" s="235"/>
      <c r="C10" s="236"/>
      <c r="D10" s="237"/>
      <c r="E10" s="279"/>
      <c r="F10" s="237"/>
      <c r="G10" s="238"/>
      <c r="H10" s="239"/>
      <c r="I10" s="238"/>
      <c r="K10" s="238"/>
      <c r="L10" s="238"/>
    </row>
    <row r="11" spans="1:44" x14ac:dyDescent="0.25">
      <c r="B11" s="241"/>
      <c r="C11" s="236"/>
      <c r="D11" s="237"/>
      <c r="E11" s="279"/>
      <c r="F11" s="237"/>
      <c r="G11" s="238"/>
      <c r="H11" s="239"/>
      <c r="I11" s="242" t="s">
        <v>215</v>
      </c>
      <c r="K11" s="242" t="s">
        <v>123</v>
      </c>
      <c r="L11" s="242" t="s">
        <v>312</v>
      </c>
    </row>
    <row r="12" spans="1:44" x14ac:dyDescent="0.25">
      <c r="B12" s="243"/>
      <c r="C12" s="242"/>
      <c r="D12" s="237"/>
      <c r="E12" s="463">
        <v>2016</v>
      </c>
      <c r="F12" s="237"/>
      <c r="G12" s="242" t="s">
        <v>215</v>
      </c>
      <c r="H12" s="244" t="s">
        <v>216</v>
      </c>
      <c r="I12" s="242" t="s">
        <v>222</v>
      </c>
      <c r="J12" s="245" t="s">
        <v>218</v>
      </c>
      <c r="K12" s="242" t="s">
        <v>124</v>
      </c>
      <c r="L12" s="242" t="s">
        <v>313</v>
      </c>
    </row>
    <row r="13" spans="1:44" x14ac:dyDescent="0.25">
      <c r="B13" s="246"/>
      <c r="C13" s="247"/>
      <c r="D13" s="248" t="s">
        <v>219</v>
      </c>
      <c r="E13" s="249" t="s">
        <v>507</v>
      </c>
      <c r="F13" s="248" t="s">
        <v>220</v>
      </c>
      <c r="G13" s="247" t="s">
        <v>9</v>
      </c>
      <c r="H13" s="250" t="s">
        <v>221</v>
      </c>
      <c r="I13" s="247" t="s">
        <v>10</v>
      </c>
      <c r="J13" s="251" t="s">
        <v>223</v>
      </c>
      <c r="K13" s="247" t="s">
        <v>158</v>
      </c>
      <c r="L13" s="397">
        <v>0.67</v>
      </c>
      <c r="M13" s="230" t="s">
        <v>388</v>
      </c>
    </row>
    <row r="14" spans="1:44" x14ac:dyDescent="0.25">
      <c r="B14" s="252" t="s">
        <v>224</v>
      </c>
      <c r="C14" s="253" t="s">
        <v>157</v>
      </c>
      <c r="D14" s="254" t="s">
        <v>225</v>
      </c>
      <c r="E14" s="254" t="s">
        <v>226</v>
      </c>
      <c r="F14" s="254" t="s">
        <v>225</v>
      </c>
      <c r="G14" s="253" t="s">
        <v>289</v>
      </c>
      <c r="H14" s="255" t="s">
        <v>227</v>
      </c>
      <c r="I14" s="255" t="s">
        <v>227</v>
      </c>
      <c r="J14" s="255" t="s">
        <v>227</v>
      </c>
      <c r="K14" s="255" t="s">
        <v>227</v>
      </c>
      <c r="L14" s="398">
        <v>0.33</v>
      </c>
      <c r="M14" s="230" t="s">
        <v>389</v>
      </c>
    </row>
    <row r="15" spans="1:44" s="405" customFormat="1" x14ac:dyDescent="0.25">
      <c r="A15" s="91"/>
      <c r="B15" s="343" t="s">
        <v>544</v>
      </c>
      <c r="C15" s="339" t="s">
        <v>256</v>
      </c>
      <c r="D15" s="365">
        <v>80</v>
      </c>
      <c r="E15" s="366">
        <v>3.61</v>
      </c>
      <c r="F15" s="340">
        <f t="shared" ref="F15:F24" si="0">+E15*D15</f>
        <v>288.8</v>
      </c>
      <c r="G15" s="346">
        <f>+'Soft White Winter Wheat'!$J$78</f>
        <v>371.19025435287926</v>
      </c>
      <c r="H15" s="341">
        <f t="shared" ref="H15:H24" si="1">+D15*E15-G15</f>
        <v>-82.390254352879253</v>
      </c>
      <c r="I15" s="340">
        <f>+'Soft White Winter Wheat'!$J$59</f>
        <v>264.58125435287923</v>
      </c>
      <c r="J15" s="341">
        <f>+F15-I15</f>
        <v>24.218745647120784</v>
      </c>
      <c r="K15" s="340">
        <f>+'Soft White Winter Wheat'!$J$67</f>
        <v>50</v>
      </c>
      <c r="L15" s="342" t="s">
        <v>311</v>
      </c>
      <c r="M15" s="230"/>
      <c r="N15" s="230"/>
      <c r="O15" s="230"/>
    </row>
    <row r="16" spans="1:44" s="405" customFormat="1" x14ac:dyDescent="0.25">
      <c r="A16" s="91"/>
      <c r="B16" s="343" t="s">
        <v>545</v>
      </c>
      <c r="C16" s="339" t="s">
        <v>256</v>
      </c>
      <c r="D16" s="365">
        <v>75</v>
      </c>
      <c r="E16" s="366">
        <v>4.5999999999999996</v>
      </c>
      <c r="F16" s="340">
        <f t="shared" si="0"/>
        <v>345</v>
      </c>
      <c r="G16" s="346">
        <f>+'Hard Red Winter Wheat'!J79</f>
        <v>412.13819185287946</v>
      </c>
      <c r="H16" s="341">
        <f t="shared" si="1"/>
        <v>-67.138191852879459</v>
      </c>
      <c r="I16" s="340">
        <f>+'Hard Red Winter Wheat'!J60</f>
        <v>311.52919185287948</v>
      </c>
      <c r="J16" s="341">
        <f t="shared" ref="J16:J24" si="2">+F16-I16</f>
        <v>33.470808147120522</v>
      </c>
      <c r="K16" s="340">
        <f>+'Hard Red Winter Wheat'!H68</f>
        <v>43</v>
      </c>
      <c r="L16" s="342" t="s">
        <v>311</v>
      </c>
      <c r="M16" s="230"/>
      <c r="N16" s="230"/>
      <c r="O16" s="230"/>
    </row>
    <row r="17" spans="2:12" x14ac:dyDescent="0.25">
      <c r="B17" s="343" t="s">
        <v>182</v>
      </c>
      <c r="C17" s="339" t="s">
        <v>256</v>
      </c>
      <c r="D17" s="365">
        <v>58</v>
      </c>
      <c r="E17" s="366">
        <v>3.61</v>
      </c>
      <c r="F17" s="340">
        <f t="shared" si="0"/>
        <v>209.38</v>
      </c>
      <c r="G17" s="346">
        <f>+'Soft White Spring Wheat'!$J$83</f>
        <v>289.80010434606442</v>
      </c>
      <c r="H17" s="341">
        <f t="shared" si="1"/>
        <v>-80.42010434606442</v>
      </c>
      <c r="I17" s="340">
        <f>+'Soft White Spring Wheat'!$J$64</f>
        <v>214.16610434606443</v>
      </c>
      <c r="J17" s="341">
        <f t="shared" si="2"/>
        <v>-4.7861043460644339</v>
      </c>
      <c r="K17" s="340">
        <f>+'Soft White Spring Wheat'!$J$72</f>
        <v>24</v>
      </c>
      <c r="L17" s="342" t="s">
        <v>311</v>
      </c>
    </row>
    <row r="18" spans="2:12" x14ac:dyDescent="0.25">
      <c r="B18" s="343" t="s">
        <v>203</v>
      </c>
      <c r="C18" s="339" t="s">
        <v>256</v>
      </c>
      <c r="D18" s="365">
        <v>58</v>
      </c>
      <c r="E18" s="366">
        <v>4.72</v>
      </c>
      <c r="F18" s="340">
        <f t="shared" si="0"/>
        <v>273.76</v>
      </c>
      <c r="G18" s="346">
        <f>+'Hard Red Spring Wheat'!$J$84</f>
        <v>337.36700000000013</v>
      </c>
      <c r="H18" s="341">
        <f t="shared" si="1"/>
        <v>-63.607000000000141</v>
      </c>
      <c r="I18" s="340">
        <f>+'Hard Red Spring Wheat'!$J$65</f>
        <v>248.73300000000012</v>
      </c>
      <c r="J18" s="341">
        <f t="shared" si="2"/>
        <v>25.026999999999873</v>
      </c>
      <c r="K18" s="340">
        <f>+'Hard Red Spring Wheat'!$J$73</f>
        <v>37</v>
      </c>
      <c r="L18" s="342" t="s">
        <v>311</v>
      </c>
    </row>
    <row r="19" spans="2:12" x14ac:dyDescent="0.25">
      <c r="B19" s="343" t="s">
        <v>140</v>
      </c>
      <c r="C19" s="339" t="s">
        <v>236</v>
      </c>
      <c r="D19" s="367">
        <v>1.5</v>
      </c>
      <c r="E19" s="460">
        <v>92</v>
      </c>
      <c r="F19" s="340">
        <f>+E19*D19</f>
        <v>138</v>
      </c>
      <c r="G19" s="346">
        <f>'Feed Barley'!$J$74</f>
        <v>245.74913559606443</v>
      </c>
      <c r="H19" s="341">
        <f t="shared" si="1"/>
        <v>-107.74913559606443</v>
      </c>
      <c r="I19" s="340">
        <f>'Feed Barley'!$J$55</f>
        <v>193.11513559606442</v>
      </c>
      <c r="J19" s="341">
        <f>+F19-I19</f>
        <v>-55.11513559606442</v>
      </c>
      <c r="K19" s="340">
        <f>'Feed Barley'!$J$63</f>
        <v>9</v>
      </c>
      <c r="L19" s="342" t="s">
        <v>311</v>
      </c>
    </row>
    <row r="20" spans="2:12" x14ac:dyDescent="0.25">
      <c r="B20" s="344" t="s">
        <v>141</v>
      </c>
      <c r="C20" s="345" t="s">
        <v>189</v>
      </c>
      <c r="D20" s="368">
        <v>1700</v>
      </c>
      <c r="E20" s="461">
        <v>0.12</v>
      </c>
      <c r="F20" s="346">
        <f t="shared" si="0"/>
        <v>204</v>
      </c>
      <c r="G20" s="346">
        <f>+'Spring Peas'!$J$75</f>
        <v>296.58660837296304</v>
      </c>
      <c r="H20" s="341">
        <f t="shared" si="1"/>
        <v>-92.586608372963042</v>
      </c>
      <c r="I20" s="346">
        <f>+'Spring Peas'!$J$56</f>
        <v>212.84260837296307</v>
      </c>
      <c r="J20" s="341">
        <f t="shared" si="2"/>
        <v>-8.8426083729630705</v>
      </c>
      <c r="K20" s="346">
        <f>+'Spring Peas'!$J$64</f>
        <v>34</v>
      </c>
      <c r="L20" s="347" t="s">
        <v>279</v>
      </c>
    </row>
    <row r="21" spans="2:12" hidden="1" x14ac:dyDescent="0.25">
      <c r="B21" s="344" t="s">
        <v>409</v>
      </c>
      <c r="C21" s="345" t="s">
        <v>189</v>
      </c>
      <c r="D21" s="368">
        <v>2000</v>
      </c>
      <c r="E21" s="461">
        <v>0.25</v>
      </c>
      <c r="F21" s="346">
        <f t="shared" si="0"/>
        <v>500</v>
      </c>
      <c r="G21" s="346">
        <f>'Austrian Winter Peas'!J76</f>
        <v>426.66556927139197</v>
      </c>
      <c r="H21" s="341">
        <f t="shared" si="1"/>
        <v>73.334430728608027</v>
      </c>
      <c r="I21" s="346">
        <f>'Austrian Winter Peas'!J56</f>
        <v>207.51156927139195</v>
      </c>
      <c r="J21" s="341">
        <f t="shared" si="2"/>
        <v>292.48843072860802</v>
      </c>
      <c r="K21" s="346">
        <f>'Austrian Winter Peas'!H65</f>
        <v>106</v>
      </c>
      <c r="L21" s="347" t="s">
        <v>279</v>
      </c>
    </row>
    <row r="22" spans="2:12" x14ac:dyDescent="0.25">
      <c r="B22" s="344" t="s">
        <v>142</v>
      </c>
      <c r="C22" s="345" t="s">
        <v>189</v>
      </c>
      <c r="D22" s="368">
        <v>1100</v>
      </c>
      <c r="E22" s="461">
        <v>0.30230000000000001</v>
      </c>
      <c r="F22" s="346">
        <f t="shared" si="0"/>
        <v>332.53000000000003</v>
      </c>
      <c r="G22" s="346">
        <f>+'Spring Lentils'!$J$73</f>
        <v>321.2583055604631</v>
      </c>
      <c r="H22" s="341">
        <f t="shared" si="1"/>
        <v>11.27169443953693</v>
      </c>
      <c r="I22" s="346">
        <f>+'Spring Lentils'!$J$53</f>
        <v>144.76430556046313</v>
      </c>
      <c r="J22" s="341">
        <f t="shared" si="2"/>
        <v>187.7656944395369</v>
      </c>
      <c r="K22" s="346">
        <f>+'Spring Lentils'!$J$62</f>
        <v>69</v>
      </c>
      <c r="L22" s="347" t="s">
        <v>279</v>
      </c>
    </row>
    <row r="23" spans="2:12" x14ac:dyDescent="0.25">
      <c r="B23" s="344" t="s">
        <v>512</v>
      </c>
      <c r="C23" s="345" t="s">
        <v>189</v>
      </c>
      <c r="D23" s="368">
        <v>1200</v>
      </c>
      <c r="E23" s="461">
        <v>0.32</v>
      </c>
      <c r="F23" s="346">
        <f t="shared" si="0"/>
        <v>384</v>
      </c>
      <c r="G23" s="346">
        <f>+Chickpeas!$J$76</f>
        <v>343.99516806046302</v>
      </c>
      <c r="H23" s="341">
        <f t="shared" si="1"/>
        <v>40.004831939536984</v>
      </c>
      <c r="I23" s="346">
        <f>+Chickpeas!$J$56</f>
        <v>204.05116806046303</v>
      </c>
      <c r="J23" s="341">
        <f t="shared" si="2"/>
        <v>179.94883193953697</v>
      </c>
      <c r="K23" s="346">
        <f>+Chickpeas!$J$64</f>
        <v>81</v>
      </c>
      <c r="L23" s="347" t="s">
        <v>279</v>
      </c>
    </row>
    <row r="24" spans="2:12" x14ac:dyDescent="0.25">
      <c r="B24" s="344" t="s">
        <v>143</v>
      </c>
      <c r="C24" s="345" t="s">
        <v>189</v>
      </c>
      <c r="D24" s="368">
        <v>1500</v>
      </c>
      <c r="E24" s="461">
        <v>0.16</v>
      </c>
      <c r="F24" s="346">
        <f t="shared" si="0"/>
        <v>240</v>
      </c>
      <c r="G24" s="346">
        <f>+'Spring Canola'!$J$75</f>
        <v>324.79850735634921</v>
      </c>
      <c r="H24" s="341">
        <f t="shared" si="1"/>
        <v>-84.798507356349205</v>
      </c>
      <c r="I24" s="346">
        <f>+'Spring Canola'!$J$56</f>
        <v>229.76450735634921</v>
      </c>
      <c r="J24" s="341">
        <f t="shared" si="2"/>
        <v>10.235492643650787</v>
      </c>
      <c r="K24" s="346">
        <f>+'Spring Canola'!$J$64</f>
        <v>42</v>
      </c>
      <c r="L24" s="342" t="s">
        <v>311</v>
      </c>
    </row>
    <row r="25" spans="2:12" x14ac:dyDescent="0.25">
      <c r="B25" s="331"/>
      <c r="C25" s="332"/>
      <c r="D25" s="333"/>
      <c r="E25" s="334"/>
      <c r="F25" s="330"/>
      <c r="G25" s="330"/>
      <c r="H25" s="329"/>
      <c r="I25" s="330"/>
      <c r="J25" s="329"/>
      <c r="K25" s="330"/>
      <c r="L25" s="335"/>
    </row>
    <row r="26" spans="2:12" ht="15" x14ac:dyDescent="0.2">
      <c r="B26" s="256" t="s">
        <v>508</v>
      </c>
      <c r="C26" s="257"/>
      <c r="D26" s="257"/>
      <c r="E26" s="258"/>
      <c r="F26" s="258"/>
      <c r="G26" s="258"/>
      <c r="H26" s="258"/>
      <c r="I26" s="258"/>
      <c r="J26" s="258"/>
      <c r="K26" s="258"/>
      <c r="L26" s="230"/>
    </row>
    <row r="27" spans="2:12" ht="15" x14ac:dyDescent="0.2">
      <c r="B27" s="256" t="s">
        <v>120</v>
      </c>
      <c r="C27" s="257"/>
      <c r="D27" s="257"/>
      <c r="E27" s="258"/>
      <c r="F27" s="258"/>
      <c r="G27" s="258"/>
      <c r="H27" s="258"/>
      <c r="I27" s="258"/>
      <c r="J27" s="258"/>
      <c r="K27" s="258"/>
      <c r="L27" s="230"/>
    </row>
    <row r="28" spans="2:12" s="230" customFormat="1" ht="15" x14ac:dyDescent="0.2">
      <c r="B28" s="256" t="s">
        <v>125</v>
      </c>
      <c r="C28" s="257"/>
      <c r="D28" s="257"/>
      <c r="E28" s="258"/>
      <c r="F28" s="258"/>
      <c r="G28" s="258"/>
      <c r="H28" s="258"/>
      <c r="I28" s="258"/>
      <c r="J28" s="258"/>
      <c r="K28" s="258"/>
    </row>
    <row r="29" spans="2:12" s="230" customFormat="1" ht="15" x14ac:dyDescent="0.2">
      <c r="B29" s="256"/>
      <c r="C29" s="257"/>
      <c r="D29" s="257"/>
      <c r="E29" s="258"/>
      <c r="F29" s="258"/>
      <c r="G29" s="258"/>
      <c r="H29" s="258"/>
      <c r="I29" s="258"/>
      <c r="J29" s="258"/>
      <c r="K29" s="258"/>
    </row>
    <row r="30" spans="2:12" ht="15" x14ac:dyDescent="0.2">
      <c r="B30" s="259"/>
      <c r="C30" s="260"/>
      <c r="D30" s="260"/>
      <c r="E30" s="261"/>
      <c r="F30" s="261"/>
      <c r="G30" s="261"/>
      <c r="H30" s="261"/>
      <c r="I30" s="261"/>
      <c r="J30" s="261"/>
      <c r="K30" s="261"/>
      <c r="L30" s="262"/>
    </row>
    <row r="31" spans="2:12" ht="15" x14ac:dyDescent="0.2">
      <c r="B31" s="263"/>
      <c r="C31" s="264"/>
      <c r="D31" s="264"/>
      <c r="E31" s="265"/>
      <c r="F31" s="265"/>
      <c r="G31" s="265"/>
      <c r="H31" s="265"/>
      <c r="I31" s="265"/>
      <c r="J31" s="265"/>
      <c r="K31" s="265"/>
      <c r="L31" s="246"/>
    </row>
    <row r="32" spans="2:12" x14ac:dyDescent="0.25">
      <c r="B32" s="266"/>
      <c r="C32" s="267"/>
      <c r="D32" s="267"/>
      <c r="E32" s="268"/>
      <c r="F32" s="268"/>
      <c r="G32" s="268"/>
      <c r="H32" s="268"/>
      <c r="I32" s="247" t="s">
        <v>215</v>
      </c>
      <c r="J32" s="268"/>
      <c r="K32" s="250" t="s">
        <v>309</v>
      </c>
      <c r="L32" s="246"/>
    </row>
    <row r="33" spans="1:239" ht="16.5" customHeight="1" x14ac:dyDescent="0.25">
      <c r="B33" s="264"/>
      <c r="C33" s="264"/>
      <c r="D33" s="264"/>
      <c r="E33" s="265"/>
      <c r="F33" s="248" t="s">
        <v>220</v>
      </c>
      <c r="G33" s="247" t="s">
        <v>215</v>
      </c>
      <c r="H33" s="250" t="s">
        <v>216</v>
      </c>
      <c r="I33" s="247" t="s">
        <v>222</v>
      </c>
      <c r="J33" s="251" t="s">
        <v>218</v>
      </c>
      <c r="K33" s="247" t="s">
        <v>217</v>
      </c>
      <c r="L33" s="246"/>
    </row>
    <row r="34" spans="1:239" x14ac:dyDescent="0.25">
      <c r="B34" s="264"/>
      <c r="C34" s="264"/>
      <c r="D34" s="264"/>
      <c r="E34" s="265"/>
      <c r="F34" s="248" t="s">
        <v>225</v>
      </c>
      <c r="G34" s="247" t="s">
        <v>310</v>
      </c>
      <c r="H34" s="250" t="s">
        <v>221</v>
      </c>
      <c r="I34" s="247" t="s">
        <v>10</v>
      </c>
      <c r="J34" s="251" t="s">
        <v>223</v>
      </c>
      <c r="K34" s="247" t="s">
        <v>158</v>
      </c>
      <c r="L34" s="246"/>
    </row>
    <row r="35" spans="1:239" x14ac:dyDescent="0.25">
      <c r="B35" s="269" t="s">
        <v>411</v>
      </c>
      <c r="C35" s="270"/>
      <c r="D35" s="271"/>
      <c r="E35" s="272"/>
      <c r="F35" s="255" t="s">
        <v>227</v>
      </c>
      <c r="G35" s="255" t="s">
        <v>227</v>
      </c>
      <c r="H35" s="273" t="s">
        <v>227</v>
      </c>
      <c r="I35" s="255" t="s">
        <v>227</v>
      </c>
      <c r="J35" s="255" t="s">
        <v>227</v>
      </c>
      <c r="K35" s="255" t="s">
        <v>227</v>
      </c>
      <c r="L35" s="274"/>
    </row>
    <row r="36" spans="1:239" ht="15" x14ac:dyDescent="0.2">
      <c r="B36" s="348" t="s">
        <v>584</v>
      </c>
      <c r="C36" s="349"/>
      <c r="D36" s="349"/>
      <c r="E36" s="350"/>
      <c r="F36" s="340">
        <f>VLOOKUP(Summary!$B$36,Table160[#All],2,FALSE)</f>
        <v>334.25333333333333</v>
      </c>
      <c r="G36" s="340">
        <f>VLOOKUP(Summary!$B$36,Table160[#All],3,FALSE)</f>
        <v>364.50011997111415</v>
      </c>
      <c r="H36" s="340">
        <f>VLOOKUP(Summary!$B$36,Table160[#All],4,FALSE)</f>
        <v>-30.246786637780815</v>
      </c>
      <c r="I36" s="340">
        <f>VLOOKUP(Summary!$B$36,Table160[#All],5,FALSE)</f>
        <v>254.77111997111422</v>
      </c>
      <c r="J36" s="340">
        <f>VLOOKUP(Summary!$B$36,Table160[#All],6,FALSE)</f>
        <v>79.482213362219113</v>
      </c>
      <c r="K36" s="340">
        <f>VLOOKUP(Summary!$B$36,Table160[#All],7,FALSE)</f>
        <v>53.666666666666664</v>
      </c>
      <c r="L36" s="349"/>
    </row>
    <row r="37" spans="1:239" ht="15" x14ac:dyDescent="0.2">
      <c r="B37" s="348" t="s">
        <v>568</v>
      </c>
      <c r="C37" s="351"/>
      <c r="D37" s="351"/>
      <c r="E37" s="352"/>
      <c r="F37" s="340">
        <f>VLOOKUP(Summary!$B$37,Table160[#All],2,FALSE)</f>
        <v>294.06</v>
      </c>
      <c r="G37" s="340">
        <f>VLOOKUP(Summary!$B$37,Table160[#All],3,FALSE)</f>
        <v>334.99517558646892</v>
      </c>
      <c r="H37" s="340">
        <f>VLOOKUP(Summary!$B$37,Table160[#All],4,FALSE)</f>
        <v>-40.935175586468894</v>
      </c>
      <c r="I37" s="340">
        <f>VLOOKUP(Summary!$B$37,Table160[#All],5,FALSE)</f>
        <v>227.59950891980225</v>
      </c>
      <c r="J37" s="340">
        <f>VLOOKUP(Summary!$B$37,Table160[#All],6,FALSE)</f>
        <v>66.46049108019777</v>
      </c>
      <c r="K37" s="340">
        <f>VLOOKUP(Summary!$B$37,Table160[#All],7,FALSE)</f>
        <v>51.666666666666664</v>
      </c>
      <c r="L37" s="351"/>
    </row>
    <row r="38" spans="1:239" s="230" customFormat="1" x14ac:dyDescent="0.25">
      <c r="B38" s="231"/>
      <c r="C38" s="231"/>
      <c r="D38" s="231"/>
      <c r="E38" s="328"/>
      <c r="F38" s="329"/>
      <c r="G38" s="330"/>
      <c r="H38" s="329"/>
      <c r="I38" s="330"/>
      <c r="J38" s="330"/>
      <c r="K38" s="330"/>
      <c r="L38" s="231"/>
    </row>
    <row r="39" spans="1:239" x14ac:dyDescent="0.25">
      <c r="A39" s="230"/>
      <c r="B39" s="231"/>
      <c r="C39" s="231"/>
      <c r="D39" s="231"/>
      <c r="E39" s="328" t="s">
        <v>378</v>
      </c>
      <c r="F39" s="329"/>
      <c r="G39" s="330"/>
      <c r="H39" s="329"/>
      <c r="I39" s="330"/>
      <c r="J39" s="330"/>
      <c r="K39" s="330"/>
      <c r="L39" s="231"/>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c r="CG39" s="230"/>
      <c r="CH39" s="230"/>
      <c r="CI39" s="230"/>
      <c r="CJ39" s="230"/>
      <c r="CK39" s="230"/>
      <c r="CL39" s="230"/>
      <c r="CM39" s="230"/>
      <c r="CN39" s="230"/>
      <c r="CO39" s="230"/>
      <c r="CP39" s="230"/>
      <c r="CQ39" s="230"/>
      <c r="CR39" s="230"/>
      <c r="CS39" s="230"/>
      <c r="CT39" s="230"/>
      <c r="CU39" s="230"/>
      <c r="CV39" s="230"/>
      <c r="CW39" s="230"/>
      <c r="CX39" s="230"/>
      <c r="CY39" s="230"/>
      <c r="CZ39" s="230"/>
      <c r="DA39" s="230"/>
      <c r="DB39" s="230"/>
      <c r="DC39" s="230"/>
      <c r="DD39" s="230"/>
      <c r="DE39" s="230"/>
      <c r="DF39" s="23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c r="EZ39" s="230"/>
      <c r="FA39" s="230"/>
      <c r="FB39" s="230"/>
      <c r="FC39" s="230"/>
      <c r="FD39" s="230"/>
      <c r="FE39" s="230"/>
      <c r="FF39" s="230"/>
      <c r="FG39" s="230"/>
      <c r="FH39" s="230"/>
      <c r="FI39" s="230"/>
      <c r="FJ39" s="230"/>
      <c r="FK39" s="230"/>
      <c r="FL39" s="230"/>
      <c r="FM39" s="230"/>
      <c r="FN39" s="230"/>
      <c r="FO39" s="230"/>
      <c r="FP39" s="230"/>
      <c r="FQ39" s="230"/>
      <c r="FR39" s="230"/>
      <c r="FS39" s="230"/>
      <c r="FT39" s="230"/>
      <c r="FU39" s="230"/>
      <c r="FV39" s="230"/>
      <c r="FW39" s="230"/>
      <c r="FX39" s="230"/>
      <c r="FY39" s="230"/>
      <c r="FZ39" s="230"/>
      <c r="GA39" s="230"/>
      <c r="GB39" s="230"/>
      <c r="GC39" s="230"/>
      <c r="GD39" s="230"/>
      <c r="GE39" s="230"/>
      <c r="GF39" s="230"/>
      <c r="GG39" s="230"/>
      <c r="GH39" s="230"/>
      <c r="GI39" s="230"/>
      <c r="GJ39" s="230"/>
      <c r="GK39" s="230"/>
      <c r="GL39" s="230"/>
      <c r="GM39" s="230"/>
      <c r="GN39" s="230"/>
      <c r="GO39" s="230"/>
      <c r="GP39" s="230"/>
      <c r="GQ39" s="230"/>
      <c r="GR39" s="230"/>
      <c r="GS39" s="230"/>
      <c r="GT39" s="230"/>
      <c r="GU39" s="230"/>
      <c r="GV39" s="230"/>
      <c r="GW39" s="230"/>
      <c r="GX39" s="230"/>
      <c r="GY39" s="230"/>
      <c r="GZ39" s="230"/>
      <c r="HA39" s="230"/>
      <c r="HB39" s="230"/>
      <c r="HC39" s="230"/>
      <c r="HD39" s="230"/>
      <c r="HE39" s="230"/>
      <c r="HF39" s="230"/>
      <c r="HG39" s="230"/>
      <c r="HH39" s="230"/>
      <c r="HI39" s="230"/>
      <c r="HJ39" s="230"/>
      <c r="HK39" s="230"/>
      <c r="HL39" s="230"/>
      <c r="HM39" s="230"/>
      <c r="HN39" s="230"/>
      <c r="HO39" s="230"/>
      <c r="HP39" s="230"/>
      <c r="HQ39" s="230"/>
      <c r="HR39" s="230"/>
      <c r="HS39" s="230"/>
      <c r="HT39" s="230"/>
      <c r="HU39" s="230"/>
      <c r="HV39" s="230"/>
      <c r="HW39" s="230"/>
      <c r="HX39" s="230"/>
      <c r="HY39" s="230"/>
      <c r="HZ39" s="230"/>
      <c r="IA39" s="230"/>
      <c r="IB39" s="230"/>
      <c r="IC39" s="230"/>
      <c r="ID39" s="230"/>
      <c r="IE39" s="230"/>
    </row>
    <row r="40" spans="1:239" ht="15" x14ac:dyDescent="0.2">
      <c r="B40" s="91"/>
      <c r="C40" s="91"/>
      <c r="D40" s="91"/>
      <c r="E40" s="321" t="s">
        <v>14</v>
      </c>
      <c r="F40" s="91"/>
      <c r="G40" s="91"/>
      <c r="H40" s="91"/>
      <c r="I40" s="91"/>
      <c r="J40" s="91"/>
      <c r="K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row>
    <row r="41" spans="1:239" ht="15" x14ac:dyDescent="0.2">
      <c r="B41" s="91"/>
      <c r="C41" s="91"/>
      <c r="D41" s="91"/>
      <c r="E41" s="321" t="s">
        <v>553</v>
      </c>
      <c r="F41" s="91"/>
      <c r="G41" s="91"/>
      <c r="H41" s="91"/>
      <c r="I41" s="91"/>
      <c r="J41" s="91"/>
      <c r="K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row>
    <row r="42" spans="1:239" ht="15" x14ac:dyDescent="0.2">
      <c r="B42" s="91"/>
      <c r="C42" s="91"/>
      <c r="D42" s="91"/>
      <c r="E42" s="321" t="s">
        <v>15</v>
      </c>
      <c r="F42" s="91"/>
      <c r="G42" s="91"/>
      <c r="H42" s="91"/>
      <c r="I42" s="91"/>
      <c r="J42" s="91"/>
      <c r="K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row>
    <row r="43" spans="1:239" ht="15" x14ac:dyDescent="0.2">
      <c r="B43" s="91"/>
      <c r="C43" s="91"/>
      <c r="D43" s="91"/>
      <c r="E43" s="196" t="s">
        <v>421</v>
      </c>
      <c r="F43" s="91"/>
      <c r="G43" s="91"/>
      <c r="H43" s="91"/>
      <c r="I43" s="91"/>
      <c r="J43" s="91"/>
      <c r="K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row>
    <row r="44" spans="1:239" ht="15" x14ac:dyDescent="0.2">
      <c r="B44" s="91"/>
      <c r="C44" s="91"/>
      <c r="D44" s="91"/>
      <c r="E44" s="321" t="s">
        <v>349</v>
      </c>
      <c r="F44" s="91"/>
      <c r="G44" s="91"/>
      <c r="H44" s="91"/>
      <c r="I44" s="91"/>
      <c r="J44" s="91"/>
      <c r="K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row>
    <row r="45" spans="1:239" ht="15" x14ac:dyDescent="0.2">
      <c r="B45" s="91"/>
      <c r="C45" s="91"/>
      <c r="D45" s="91"/>
      <c r="E45" s="321" t="s">
        <v>138</v>
      </c>
      <c r="F45" s="91"/>
      <c r="G45" s="91"/>
      <c r="H45" s="91"/>
      <c r="I45" s="91"/>
      <c r="J45" s="91"/>
      <c r="K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row>
    <row r="46" spans="1:239" ht="15" x14ac:dyDescent="0.2">
      <c r="B46" s="91"/>
      <c r="C46" s="91"/>
      <c r="D46" s="91"/>
      <c r="E46" s="321" t="s">
        <v>17</v>
      </c>
      <c r="F46" s="91"/>
      <c r="G46" s="91"/>
      <c r="H46" s="91"/>
      <c r="I46" s="91"/>
      <c r="J46" s="91"/>
      <c r="K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row>
    <row r="47" spans="1:239" ht="15" hidden="1" x14ac:dyDescent="0.2">
      <c r="B47" s="91"/>
      <c r="C47" s="91"/>
      <c r="D47" s="91"/>
      <c r="E47" s="321" t="s">
        <v>401</v>
      </c>
      <c r="F47" s="91"/>
      <c r="G47" s="91"/>
      <c r="H47" s="91"/>
      <c r="I47" s="91"/>
      <c r="J47" s="91"/>
      <c r="K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row>
    <row r="48" spans="1:239" ht="15" x14ac:dyDescent="0.2">
      <c r="B48" s="91"/>
      <c r="C48" s="91"/>
      <c r="D48" s="91"/>
      <c r="E48" s="321" t="s">
        <v>518</v>
      </c>
      <c r="F48" s="91"/>
      <c r="G48" s="91"/>
      <c r="H48" s="91"/>
      <c r="I48" s="91"/>
      <c r="J48" s="91"/>
      <c r="K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row>
    <row r="49" spans="2:239" ht="15" x14ac:dyDescent="0.2">
      <c r="B49" s="91"/>
      <c r="C49" s="91"/>
      <c r="D49" s="91"/>
      <c r="E49" s="321" t="s">
        <v>6</v>
      </c>
      <c r="F49" s="91"/>
      <c r="G49" s="91"/>
      <c r="H49" s="91"/>
      <c r="I49" s="91"/>
      <c r="J49" s="91"/>
      <c r="K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row>
    <row r="50" spans="2:239" ht="15" x14ac:dyDescent="0.2">
      <c r="B50" s="91"/>
      <c r="C50" s="91"/>
      <c r="D50" s="91"/>
      <c r="E50" s="227"/>
      <c r="F50" s="91"/>
      <c r="G50" s="91"/>
      <c r="H50" s="91"/>
      <c r="I50" s="91"/>
      <c r="J50" s="91"/>
      <c r="K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row>
    <row r="51" spans="2:239" ht="15" x14ac:dyDescent="0.2">
      <c r="B51" s="91"/>
      <c r="C51" s="91"/>
      <c r="D51" s="91"/>
      <c r="E51" s="227"/>
      <c r="F51" s="91"/>
      <c r="G51" s="91"/>
      <c r="H51" s="91"/>
      <c r="I51" s="91"/>
      <c r="J51" s="91"/>
      <c r="K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row>
    <row r="52" spans="2:239" ht="15" x14ac:dyDescent="0.2">
      <c r="B52" s="91"/>
      <c r="C52" s="91"/>
      <c r="D52" s="91"/>
      <c r="E52" s="227"/>
      <c r="F52" s="91"/>
      <c r="G52" s="91"/>
      <c r="H52" s="91"/>
      <c r="I52" s="91"/>
      <c r="J52" s="91"/>
      <c r="K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row>
    <row r="53" spans="2:239" ht="15" x14ac:dyDescent="0.2">
      <c r="B53" s="91"/>
      <c r="C53" s="91"/>
      <c r="D53" s="91"/>
      <c r="E53" s="227"/>
      <c r="F53" s="91"/>
      <c r="G53" s="91"/>
      <c r="H53" s="91"/>
      <c r="I53" s="91"/>
      <c r="J53" s="91"/>
      <c r="K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row>
    <row r="54" spans="2:239" ht="15" x14ac:dyDescent="0.2">
      <c r="B54" s="91"/>
      <c r="C54" s="91"/>
      <c r="D54" s="91"/>
      <c r="E54" s="227"/>
      <c r="F54" s="91"/>
      <c r="G54" s="91"/>
      <c r="H54" s="91"/>
      <c r="I54" s="91"/>
      <c r="J54" s="91"/>
      <c r="K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row>
    <row r="55" spans="2:239" ht="15" x14ac:dyDescent="0.2">
      <c r="B55" s="91"/>
      <c r="C55" s="91"/>
      <c r="D55" s="91"/>
      <c r="E55" s="227"/>
      <c r="F55" s="91"/>
      <c r="G55" s="91"/>
      <c r="H55" s="91"/>
      <c r="I55" s="91"/>
      <c r="J55" s="91"/>
      <c r="K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row>
    <row r="56" spans="2:239" ht="15" x14ac:dyDescent="0.2">
      <c r="B56" s="91"/>
      <c r="C56" s="91"/>
      <c r="D56" s="91"/>
      <c r="E56" s="227"/>
      <c r="F56" s="91"/>
      <c r="G56" s="91"/>
      <c r="H56" s="91"/>
      <c r="I56" s="91"/>
      <c r="J56" s="91"/>
      <c r="K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row>
    <row r="57" spans="2:239" ht="15" x14ac:dyDescent="0.2">
      <c r="B57" s="91"/>
      <c r="C57" s="91"/>
      <c r="D57" s="91"/>
      <c r="E57" s="227"/>
      <c r="F57" s="91"/>
      <c r="G57" s="91"/>
      <c r="H57" s="91"/>
      <c r="I57" s="91"/>
      <c r="J57" s="91"/>
      <c r="K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row>
    <row r="58" spans="2:239" ht="15" x14ac:dyDescent="0.2">
      <c r="B58" s="91"/>
      <c r="C58" s="91"/>
      <c r="D58" s="91"/>
      <c r="E58" s="227"/>
      <c r="F58" s="91"/>
      <c r="G58" s="91"/>
      <c r="H58" s="91"/>
      <c r="I58" s="91"/>
      <c r="J58" s="91"/>
      <c r="K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row>
    <row r="59" spans="2:239" ht="15" x14ac:dyDescent="0.2">
      <c r="B59" s="91"/>
      <c r="C59" s="91"/>
      <c r="D59" s="91"/>
      <c r="E59" s="227"/>
      <c r="F59" s="91"/>
      <c r="G59" s="91"/>
      <c r="H59" s="91"/>
      <c r="I59" s="91"/>
      <c r="J59" s="91"/>
      <c r="K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row>
    <row r="60" spans="2:239" ht="15" x14ac:dyDescent="0.2">
      <c r="B60" s="91"/>
      <c r="C60" s="91"/>
      <c r="D60" s="91"/>
      <c r="E60" s="227"/>
      <c r="F60" s="91"/>
      <c r="G60" s="91"/>
      <c r="H60" s="91"/>
      <c r="I60" s="91"/>
      <c r="J60" s="91"/>
      <c r="K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row>
    <row r="61" spans="2:239" ht="15" x14ac:dyDescent="0.2">
      <c r="B61" s="91"/>
      <c r="C61" s="91"/>
      <c r="D61" s="91"/>
      <c r="E61" s="227"/>
      <c r="F61" s="91"/>
      <c r="G61" s="91"/>
      <c r="H61" s="91"/>
      <c r="I61" s="91"/>
      <c r="J61" s="91"/>
      <c r="K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row>
    <row r="62" spans="2:239" ht="15" x14ac:dyDescent="0.2">
      <c r="B62" s="91"/>
      <c r="C62" s="91"/>
      <c r="D62" s="91"/>
      <c r="E62" s="227"/>
      <c r="F62" s="91"/>
      <c r="G62" s="91"/>
      <c r="H62" s="91"/>
      <c r="I62" s="91"/>
      <c r="J62" s="91"/>
      <c r="K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row>
    <row r="63" spans="2:239" ht="15" x14ac:dyDescent="0.2">
      <c r="B63" s="91"/>
      <c r="C63" s="91"/>
      <c r="D63" s="91"/>
      <c r="E63" s="227"/>
      <c r="F63" s="91"/>
      <c r="G63" s="91"/>
      <c r="H63" s="91"/>
      <c r="I63" s="91"/>
      <c r="J63" s="91"/>
      <c r="K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row>
    <row r="64" spans="2:239" ht="15" x14ac:dyDescent="0.2">
      <c r="B64" s="91"/>
      <c r="C64" s="91"/>
      <c r="D64" s="91"/>
      <c r="E64" s="227"/>
      <c r="F64" s="91"/>
      <c r="G64" s="91"/>
      <c r="H64" s="91"/>
      <c r="I64" s="91"/>
      <c r="J64" s="91"/>
      <c r="K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row>
    <row r="65" spans="2:239" ht="15" x14ac:dyDescent="0.2">
      <c r="B65" s="91"/>
      <c r="C65" s="91"/>
      <c r="D65" s="91"/>
      <c r="E65" s="227"/>
      <c r="F65" s="91"/>
      <c r="G65" s="91"/>
      <c r="H65" s="91"/>
      <c r="I65" s="91"/>
      <c r="J65" s="91"/>
      <c r="K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row>
    <row r="66" spans="2:239" ht="15" x14ac:dyDescent="0.2">
      <c r="B66" s="91"/>
      <c r="C66" s="91"/>
      <c r="D66" s="91"/>
      <c r="E66" s="227"/>
      <c r="F66" s="91"/>
      <c r="G66" s="91"/>
      <c r="H66" s="91"/>
      <c r="I66" s="91"/>
      <c r="J66" s="91"/>
      <c r="K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row>
    <row r="67" spans="2:239" ht="15" x14ac:dyDescent="0.2">
      <c r="B67" s="91"/>
      <c r="C67" s="91"/>
      <c r="D67" s="91"/>
      <c r="E67" s="227"/>
      <c r="F67" s="91"/>
      <c r="G67" s="91"/>
      <c r="H67" s="91"/>
      <c r="I67" s="91"/>
      <c r="J67" s="91"/>
      <c r="K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row>
    <row r="68" spans="2:239" ht="15" x14ac:dyDescent="0.2">
      <c r="B68" s="91"/>
      <c r="C68" s="91"/>
      <c r="D68" s="91"/>
      <c r="E68" s="227"/>
      <c r="F68" s="91"/>
      <c r="G68" s="91"/>
      <c r="H68" s="91"/>
      <c r="I68" s="91"/>
      <c r="J68" s="91"/>
      <c r="K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row>
    <row r="69" spans="2:239" ht="15" x14ac:dyDescent="0.2">
      <c r="B69" s="91"/>
      <c r="C69" s="91"/>
      <c r="D69" s="91"/>
      <c r="E69" s="227"/>
      <c r="F69" s="91"/>
      <c r="G69" s="91"/>
      <c r="H69" s="91"/>
      <c r="I69" s="91"/>
      <c r="J69" s="91"/>
      <c r="K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row>
    <row r="70" spans="2:239" ht="15" x14ac:dyDescent="0.2">
      <c r="B70" s="91"/>
      <c r="C70" s="91"/>
      <c r="D70" s="91"/>
      <c r="E70" s="227"/>
      <c r="F70" s="91"/>
      <c r="G70" s="91"/>
      <c r="H70" s="91"/>
      <c r="I70" s="91"/>
      <c r="J70" s="91"/>
      <c r="K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row>
    <row r="71" spans="2:239" ht="15" x14ac:dyDescent="0.2">
      <c r="B71" s="91"/>
      <c r="C71" s="91"/>
      <c r="D71" s="91"/>
      <c r="E71" s="227"/>
      <c r="F71" s="91"/>
      <c r="G71" s="91"/>
      <c r="H71" s="91"/>
      <c r="I71" s="91"/>
      <c r="J71" s="91"/>
      <c r="K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row>
    <row r="72" spans="2:239" ht="15" x14ac:dyDescent="0.2">
      <c r="B72" s="91"/>
      <c r="C72" s="91"/>
      <c r="D72" s="91"/>
      <c r="E72" s="227"/>
      <c r="F72" s="91"/>
      <c r="G72" s="91"/>
      <c r="H72" s="91"/>
      <c r="I72" s="91"/>
      <c r="J72" s="91"/>
      <c r="K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row>
    <row r="73" spans="2:239" ht="15" x14ac:dyDescent="0.2">
      <c r="B73" s="91"/>
      <c r="C73" s="91"/>
      <c r="D73" s="91"/>
      <c r="E73" s="227"/>
      <c r="F73" s="91"/>
      <c r="G73" s="91"/>
      <c r="H73" s="91"/>
      <c r="I73" s="91"/>
      <c r="J73" s="91"/>
      <c r="K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row>
    <row r="74" spans="2:239" ht="15" x14ac:dyDescent="0.2">
      <c r="B74" s="91"/>
      <c r="C74" s="91"/>
      <c r="D74" s="91"/>
      <c r="E74" s="227"/>
      <c r="F74" s="91"/>
      <c r="G74" s="91"/>
      <c r="H74" s="91"/>
      <c r="I74" s="91"/>
      <c r="J74" s="91"/>
      <c r="K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row>
    <row r="75" spans="2:239" ht="15" x14ac:dyDescent="0.2">
      <c r="B75" s="91"/>
      <c r="C75" s="91"/>
      <c r="D75" s="91"/>
      <c r="E75" s="227"/>
      <c r="F75" s="91"/>
      <c r="G75" s="91"/>
      <c r="H75" s="91"/>
      <c r="I75" s="91"/>
      <c r="J75" s="91"/>
      <c r="K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row>
    <row r="76" spans="2:239" ht="15" x14ac:dyDescent="0.2">
      <c r="B76" s="91"/>
      <c r="C76" s="91"/>
      <c r="D76" s="91"/>
      <c r="E76" s="227"/>
      <c r="F76" s="91"/>
      <c r="G76" s="91"/>
      <c r="H76" s="91"/>
      <c r="I76" s="91"/>
      <c r="J76" s="91"/>
      <c r="K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row>
    <row r="77" spans="2:239" ht="15" x14ac:dyDescent="0.2">
      <c r="B77" s="91"/>
      <c r="C77" s="91"/>
      <c r="D77" s="91"/>
      <c r="E77" s="227"/>
      <c r="F77" s="91"/>
      <c r="G77" s="91"/>
      <c r="H77" s="91"/>
      <c r="I77" s="91"/>
      <c r="J77" s="91"/>
      <c r="K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row>
    <row r="78" spans="2:239" ht="15" x14ac:dyDescent="0.2">
      <c r="B78" s="91"/>
      <c r="C78" s="91"/>
      <c r="D78" s="91"/>
      <c r="E78" s="227"/>
      <c r="F78" s="91"/>
      <c r="G78" s="91"/>
      <c r="H78" s="91"/>
      <c r="I78" s="91"/>
      <c r="J78" s="91"/>
      <c r="K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row>
    <row r="79" spans="2:239" ht="15" x14ac:dyDescent="0.2">
      <c r="B79" s="91"/>
      <c r="C79" s="91"/>
      <c r="D79" s="91"/>
      <c r="E79" s="227"/>
      <c r="F79" s="91"/>
      <c r="G79" s="91"/>
      <c r="H79" s="91"/>
      <c r="I79" s="91"/>
      <c r="J79" s="91"/>
      <c r="K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row>
    <row r="80" spans="2:239" ht="15" x14ac:dyDescent="0.2">
      <c r="B80" s="91"/>
      <c r="C80" s="91"/>
      <c r="D80" s="91"/>
      <c r="E80" s="227"/>
      <c r="F80" s="91"/>
      <c r="G80" s="91"/>
      <c r="H80" s="91"/>
      <c r="I80" s="91"/>
      <c r="J80" s="91"/>
      <c r="K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row>
    <row r="81" spans="2:239" ht="15" x14ac:dyDescent="0.2">
      <c r="B81" s="91"/>
      <c r="C81" s="91"/>
      <c r="D81" s="91"/>
      <c r="E81" s="227"/>
      <c r="F81" s="91"/>
      <c r="G81" s="91"/>
      <c r="H81" s="91"/>
      <c r="I81" s="91"/>
      <c r="J81" s="91"/>
      <c r="K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row>
    <row r="82" spans="2:239" ht="15" x14ac:dyDescent="0.2">
      <c r="B82" s="91"/>
      <c r="C82" s="91"/>
      <c r="D82" s="91"/>
      <c r="E82" s="227"/>
      <c r="F82" s="91"/>
      <c r="G82" s="91"/>
      <c r="H82" s="91"/>
      <c r="I82" s="91"/>
      <c r="J82" s="91"/>
      <c r="K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row>
    <row r="83" spans="2:239" ht="15" x14ac:dyDescent="0.2">
      <c r="B83" s="91"/>
      <c r="C83" s="91"/>
      <c r="D83" s="91"/>
      <c r="E83" s="227"/>
      <c r="F83" s="91"/>
      <c r="G83" s="91"/>
      <c r="H83" s="91"/>
      <c r="I83" s="91"/>
      <c r="J83" s="91"/>
      <c r="K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row>
    <row r="84" spans="2:239" ht="15" x14ac:dyDescent="0.2">
      <c r="B84" s="91"/>
      <c r="C84" s="91"/>
      <c r="D84" s="91"/>
      <c r="E84" s="227"/>
      <c r="F84" s="91"/>
      <c r="G84" s="91"/>
      <c r="H84" s="91"/>
      <c r="I84" s="91"/>
      <c r="J84" s="91"/>
      <c r="K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row>
    <row r="85" spans="2:239" ht="15" x14ac:dyDescent="0.2">
      <c r="B85" s="91"/>
      <c r="C85" s="91"/>
      <c r="D85" s="91"/>
      <c r="E85" s="227"/>
      <c r="F85" s="91"/>
      <c r="G85" s="91"/>
      <c r="H85" s="91"/>
      <c r="I85" s="91"/>
      <c r="J85" s="91"/>
      <c r="K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row>
    <row r="86" spans="2:239" ht="15" x14ac:dyDescent="0.2">
      <c r="B86" s="91"/>
      <c r="C86" s="91"/>
      <c r="D86" s="91"/>
      <c r="E86" s="227"/>
      <c r="F86" s="91"/>
      <c r="G86" s="91"/>
      <c r="H86" s="91"/>
      <c r="I86" s="91"/>
      <c r="J86" s="91"/>
      <c r="K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row>
    <row r="87" spans="2:239" ht="15" x14ac:dyDescent="0.2">
      <c r="B87" s="91"/>
      <c r="C87" s="91"/>
      <c r="D87" s="91"/>
      <c r="E87" s="227"/>
      <c r="F87" s="91"/>
      <c r="G87" s="91"/>
      <c r="H87" s="91"/>
      <c r="I87" s="91"/>
      <c r="J87" s="91"/>
      <c r="K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row>
    <row r="88" spans="2:239" ht="15" x14ac:dyDescent="0.2">
      <c r="B88" s="91"/>
      <c r="C88" s="91"/>
      <c r="D88" s="91"/>
      <c r="E88" s="227"/>
      <c r="F88" s="91"/>
      <c r="G88" s="91"/>
      <c r="H88" s="91"/>
      <c r="I88" s="91"/>
      <c r="J88" s="91"/>
      <c r="K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row>
    <row r="89" spans="2:239" ht="15" x14ac:dyDescent="0.2">
      <c r="B89" s="91"/>
      <c r="C89" s="91"/>
      <c r="D89" s="91"/>
      <c r="E89" s="227"/>
      <c r="F89" s="91"/>
      <c r="G89" s="91"/>
      <c r="H89" s="91"/>
      <c r="I89" s="91"/>
      <c r="J89" s="91"/>
      <c r="K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row>
    <row r="90" spans="2:239" ht="15" x14ac:dyDescent="0.2">
      <c r="B90" s="91"/>
      <c r="C90" s="91"/>
      <c r="D90" s="91"/>
      <c r="E90" s="227"/>
      <c r="F90" s="91"/>
      <c r="G90" s="91"/>
      <c r="H90" s="91"/>
      <c r="I90" s="91"/>
      <c r="J90" s="91"/>
      <c r="K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row>
    <row r="91" spans="2:239" ht="15" x14ac:dyDescent="0.2">
      <c r="B91" s="91"/>
      <c r="C91" s="91"/>
      <c r="D91" s="91"/>
      <c r="E91" s="227"/>
      <c r="F91" s="91"/>
      <c r="G91" s="91"/>
      <c r="H91" s="91"/>
      <c r="I91" s="91"/>
      <c r="J91" s="91"/>
      <c r="K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row>
    <row r="92" spans="2:239" ht="15" x14ac:dyDescent="0.2">
      <c r="B92" s="91"/>
      <c r="C92" s="91"/>
      <c r="D92" s="91"/>
      <c r="E92" s="227"/>
      <c r="F92" s="91"/>
      <c r="G92" s="91"/>
      <c r="H92" s="91"/>
      <c r="I92" s="91"/>
      <c r="J92" s="91"/>
      <c r="K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row>
    <row r="93" spans="2:239" ht="15" x14ac:dyDescent="0.2">
      <c r="B93" s="91"/>
      <c r="C93" s="91"/>
      <c r="D93" s="91"/>
      <c r="E93" s="227"/>
      <c r="F93" s="91"/>
      <c r="G93" s="91"/>
      <c r="H93" s="91"/>
      <c r="I93" s="91"/>
      <c r="J93" s="91"/>
      <c r="K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row>
    <row r="94" spans="2:239" ht="15" x14ac:dyDescent="0.2">
      <c r="B94" s="91"/>
      <c r="C94" s="91"/>
      <c r="D94" s="91"/>
      <c r="E94" s="227"/>
      <c r="F94" s="91"/>
      <c r="G94" s="91"/>
      <c r="H94" s="91"/>
      <c r="I94" s="91"/>
      <c r="J94" s="91"/>
      <c r="K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row>
    <row r="95" spans="2:239" ht="15" x14ac:dyDescent="0.2">
      <c r="B95" s="91"/>
      <c r="C95" s="91"/>
      <c r="D95" s="91"/>
      <c r="E95" s="227"/>
      <c r="F95" s="91"/>
      <c r="G95" s="91"/>
      <c r="H95" s="91"/>
      <c r="I95" s="91"/>
      <c r="J95" s="91"/>
      <c r="K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row>
    <row r="96" spans="2:239" ht="15" x14ac:dyDescent="0.2">
      <c r="B96" s="91"/>
      <c r="C96" s="91"/>
      <c r="D96" s="91"/>
      <c r="E96" s="227"/>
      <c r="F96" s="91"/>
      <c r="G96" s="91"/>
      <c r="H96" s="91"/>
      <c r="I96" s="91"/>
      <c r="J96" s="91"/>
      <c r="K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row>
    <row r="97" spans="2:239" ht="15" x14ac:dyDescent="0.2">
      <c r="B97" s="91"/>
      <c r="C97" s="91"/>
      <c r="D97" s="91"/>
      <c r="E97" s="227"/>
      <c r="F97" s="91"/>
      <c r="G97" s="91"/>
      <c r="H97" s="91"/>
      <c r="I97" s="91"/>
      <c r="J97" s="91"/>
      <c r="K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row>
    <row r="98" spans="2:239" ht="15" x14ac:dyDescent="0.2">
      <c r="B98" s="91"/>
      <c r="C98" s="91"/>
      <c r="D98" s="91"/>
      <c r="E98" s="227"/>
      <c r="F98" s="91"/>
      <c r="G98" s="91"/>
      <c r="H98" s="91"/>
      <c r="I98" s="91"/>
      <c r="J98" s="91"/>
      <c r="K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row>
    <row r="99" spans="2:239" ht="15" x14ac:dyDescent="0.2">
      <c r="B99" s="91"/>
      <c r="C99" s="91"/>
      <c r="D99" s="91"/>
      <c r="E99" s="227"/>
      <c r="F99" s="91"/>
      <c r="G99" s="91"/>
      <c r="H99" s="91"/>
      <c r="I99" s="91"/>
      <c r="J99" s="91"/>
      <c r="K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row>
    <row r="100" spans="2:239" ht="15" x14ac:dyDescent="0.2">
      <c r="B100" s="91"/>
      <c r="C100" s="91"/>
      <c r="D100" s="91"/>
      <c r="E100" s="227"/>
      <c r="F100" s="91"/>
      <c r="G100" s="91"/>
      <c r="H100" s="91"/>
      <c r="I100" s="91"/>
      <c r="J100" s="91"/>
      <c r="K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row>
    <row r="101" spans="2:239" ht="15" x14ac:dyDescent="0.2">
      <c r="B101" s="91"/>
      <c r="C101" s="91"/>
      <c r="D101" s="91"/>
      <c r="E101" s="227"/>
      <c r="F101" s="91"/>
      <c r="G101" s="91"/>
      <c r="H101" s="91"/>
      <c r="I101" s="91"/>
      <c r="J101" s="91"/>
      <c r="K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row>
    <row r="102" spans="2:239" ht="15" x14ac:dyDescent="0.2">
      <c r="B102" s="91"/>
      <c r="C102" s="91"/>
      <c r="D102" s="91"/>
      <c r="E102" s="227"/>
      <c r="F102" s="91"/>
      <c r="G102" s="91"/>
      <c r="H102" s="91"/>
      <c r="I102" s="91"/>
      <c r="J102" s="91"/>
      <c r="K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row>
    <row r="103" spans="2:239" ht="15" x14ac:dyDescent="0.2">
      <c r="B103" s="91"/>
      <c r="C103" s="91"/>
      <c r="D103" s="91"/>
      <c r="E103" s="227"/>
      <c r="F103" s="91"/>
      <c r="G103" s="91"/>
      <c r="H103" s="91"/>
      <c r="I103" s="91"/>
      <c r="J103" s="91"/>
      <c r="K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row>
    <row r="104" spans="2:239" ht="15" x14ac:dyDescent="0.2">
      <c r="B104" s="91"/>
      <c r="C104" s="91"/>
      <c r="D104" s="91"/>
      <c r="E104" s="227"/>
      <c r="F104" s="91"/>
      <c r="G104" s="91"/>
      <c r="H104" s="91"/>
      <c r="I104" s="91"/>
      <c r="J104" s="91"/>
      <c r="K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row>
    <row r="105" spans="2:239" ht="15" x14ac:dyDescent="0.2">
      <c r="B105" s="91"/>
      <c r="C105" s="91"/>
      <c r="D105" s="91"/>
      <c r="E105" s="227"/>
      <c r="F105" s="91"/>
      <c r="G105" s="91"/>
      <c r="H105" s="91"/>
      <c r="I105" s="91"/>
      <c r="J105" s="91"/>
      <c r="K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row>
    <row r="106" spans="2:239" ht="15" x14ac:dyDescent="0.2">
      <c r="B106" s="91"/>
      <c r="C106" s="91"/>
      <c r="D106" s="91"/>
      <c r="E106" s="227"/>
      <c r="F106" s="91"/>
      <c r="G106" s="91"/>
      <c r="H106" s="91"/>
      <c r="I106" s="91"/>
      <c r="J106" s="91"/>
      <c r="K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row>
    <row r="107" spans="2:239" ht="15" x14ac:dyDescent="0.2">
      <c r="B107" s="91"/>
      <c r="C107" s="91"/>
      <c r="D107" s="91"/>
      <c r="E107" s="227"/>
      <c r="F107" s="91"/>
      <c r="G107" s="91"/>
      <c r="H107" s="91"/>
      <c r="I107" s="91"/>
      <c r="J107" s="91"/>
      <c r="K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row>
    <row r="108" spans="2:239" ht="15" x14ac:dyDescent="0.2">
      <c r="B108" s="91"/>
      <c r="C108" s="91"/>
      <c r="D108" s="91"/>
      <c r="E108" s="227"/>
      <c r="F108" s="91"/>
      <c r="G108" s="91"/>
      <c r="H108" s="91"/>
      <c r="I108" s="91"/>
      <c r="J108" s="91"/>
      <c r="K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row>
    <row r="109" spans="2:239" ht="15" x14ac:dyDescent="0.2">
      <c r="B109" s="91"/>
      <c r="C109" s="91"/>
      <c r="D109" s="91"/>
      <c r="E109" s="227"/>
      <c r="F109" s="91"/>
      <c r="G109" s="91"/>
      <c r="H109" s="91"/>
      <c r="I109" s="91"/>
      <c r="J109" s="91"/>
      <c r="K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row>
    <row r="110" spans="2:239" ht="15" x14ac:dyDescent="0.2">
      <c r="B110" s="91"/>
      <c r="C110" s="91"/>
      <c r="D110" s="91"/>
      <c r="E110" s="227"/>
      <c r="F110" s="91"/>
      <c r="G110" s="91"/>
      <c r="H110" s="91"/>
      <c r="I110" s="91"/>
      <c r="J110" s="91"/>
      <c r="K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row>
    <row r="111" spans="2:239" ht="15" x14ac:dyDescent="0.2">
      <c r="B111" s="91"/>
      <c r="C111" s="91"/>
      <c r="D111" s="91"/>
      <c r="E111" s="227"/>
      <c r="F111" s="91"/>
      <c r="G111" s="91"/>
      <c r="H111" s="91"/>
      <c r="I111" s="91"/>
      <c r="J111" s="91"/>
      <c r="K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row>
    <row r="112" spans="2:239" ht="15" x14ac:dyDescent="0.2">
      <c r="B112" s="91"/>
      <c r="C112" s="91"/>
      <c r="D112" s="91"/>
      <c r="E112" s="227"/>
      <c r="F112" s="91"/>
      <c r="G112" s="91"/>
      <c r="H112" s="91"/>
      <c r="I112" s="91"/>
      <c r="J112" s="91"/>
      <c r="K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row>
    <row r="113" spans="2:239" ht="15" x14ac:dyDescent="0.2">
      <c r="B113" s="91"/>
      <c r="C113" s="91"/>
      <c r="D113" s="91"/>
      <c r="E113" s="227"/>
      <c r="F113" s="91"/>
      <c r="G113" s="91"/>
      <c r="H113" s="91"/>
      <c r="I113" s="91"/>
      <c r="J113" s="91"/>
      <c r="K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row>
    <row r="114" spans="2:239" ht="15" x14ac:dyDescent="0.2">
      <c r="B114" s="91"/>
      <c r="C114" s="91"/>
      <c r="D114" s="91"/>
      <c r="E114" s="227"/>
      <c r="F114" s="91"/>
      <c r="G114" s="91"/>
      <c r="H114" s="91"/>
      <c r="I114" s="91"/>
      <c r="J114" s="91"/>
      <c r="K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row>
    <row r="115" spans="2:239" ht="15" x14ac:dyDescent="0.2">
      <c r="B115" s="91"/>
      <c r="C115" s="91"/>
      <c r="D115" s="91"/>
      <c r="E115" s="227"/>
      <c r="F115" s="91"/>
      <c r="G115" s="91"/>
      <c r="H115" s="91"/>
      <c r="I115" s="91"/>
      <c r="J115" s="91"/>
      <c r="K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row>
    <row r="116" spans="2:239" ht="15" x14ac:dyDescent="0.2">
      <c r="B116" s="91"/>
      <c r="C116" s="91"/>
      <c r="D116" s="91"/>
      <c r="E116" s="227"/>
      <c r="F116" s="91"/>
      <c r="G116" s="91"/>
      <c r="H116" s="91"/>
      <c r="I116" s="91"/>
      <c r="J116" s="91"/>
      <c r="K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row>
    <row r="117" spans="2:239" ht="15" x14ac:dyDescent="0.2">
      <c r="B117" s="91"/>
      <c r="C117" s="91"/>
      <c r="D117" s="91"/>
      <c r="E117" s="227"/>
      <c r="F117" s="91"/>
      <c r="G117" s="91"/>
      <c r="H117" s="91"/>
      <c r="I117" s="91"/>
      <c r="J117" s="91"/>
      <c r="K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row>
    <row r="118" spans="2:239" ht="15" x14ac:dyDescent="0.2">
      <c r="B118" s="91"/>
      <c r="C118" s="91"/>
      <c r="D118" s="91"/>
      <c r="E118" s="227"/>
      <c r="F118" s="91"/>
      <c r="G118" s="91"/>
      <c r="H118" s="91"/>
      <c r="I118" s="91"/>
      <c r="J118" s="91"/>
      <c r="K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row>
    <row r="119" spans="2:239" ht="15" x14ac:dyDescent="0.2">
      <c r="B119" s="91"/>
      <c r="C119" s="91"/>
      <c r="D119" s="91"/>
      <c r="E119" s="227"/>
      <c r="F119" s="91"/>
      <c r="G119" s="91"/>
      <c r="H119" s="91"/>
      <c r="I119" s="91"/>
      <c r="J119" s="91"/>
      <c r="K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row>
    <row r="120" spans="2:239" ht="15" x14ac:dyDescent="0.2">
      <c r="B120" s="91"/>
      <c r="C120" s="91"/>
      <c r="D120" s="91"/>
      <c r="E120" s="227"/>
      <c r="F120" s="91"/>
      <c r="G120" s="91"/>
      <c r="H120" s="91"/>
      <c r="I120" s="91"/>
      <c r="J120" s="91"/>
      <c r="K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row>
    <row r="121" spans="2:239" ht="15" x14ac:dyDescent="0.2">
      <c r="B121" s="91"/>
      <c r="C121" s="91"/>
      <c r="D121" s="91"/>
      <c r="E121" s="227"/>
      <c r="F121" s="91"/>
      <c r="G121" s="91"/>
      <c r="H121" s="91"/>
      <c r="I121" s="91"/>
      <c r="J121" s="91"/>
      <c r="K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row>
    <row r="122" spans="2:239" ht="15" x14ac:dyDescent="0.2">
      <c r="B122" s="91"/>
      <c r="C122" s="91"/>
      <c r="D122" s="91"/>
      <c r="E122" s="227"/>
      <c r="F122" s="91"/>
      <c r="G122" s="91"/>
      <c r="H122" s="91"/>
      <c r="I122" s="91"/>
      <c r="J122" s="91"/>
      <c r="K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row>
    <row r="123" spans="2:239" ht="15" x14ac:dyDescent="0.2">
      <c r="B123" s="91"/>
      <c r="C123" s="91"/>
      <c r="D123" s="91"/>
      <c r="E123" s="227"/>
      <c r="F123" s="91"/>
      <c r="G123" s="91"/>
      <c r="H123" s="91"/>
      <c r="I123" s="91"/>
      <c r="J123" s="91"/>
      <c r="K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row>
    <row r="124" spans="2:239" ht="15" x14ac:dyDescent="0.2">
      <c r="B124" s="91"/>
      <c r="C124" s="91"/>
      <c r="D124" s="91"/>
      <c r="E124" s="227"/>
      <c r="F124" s="91"/>
      <c r="G124" s="91"/>
      <c r="H124" s="91"/>
      <c r="I124" s="91"/>
      <c r="J124" s="91"/>
      <c r="K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row>
    <row r="125" spans="2:239" ht="15" x14ac:dyDescent="0.2">
      <c r="B125" s="91"/>
      <c r="C125" s="91"/>
      <c r="D125" s="91"/>
      <c r="E125" s="227"/>
      <c r="F125" s="91"/>
      <c r="G125" s="91"/>
      <c r="H125" s="91"/>
      <c r="I125" s="91"/>
      <c r="J125" s="91"/>
      <c r="K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row>
    <row r="126" spans="2:239" ht="15" x14ac:dyDescent="0.2">
      <c r="B126" s="91"/>
      <c r="C126" s="91"/>
      <c r="D126" s="91"/>
      <c r="E126" s="227"/>
      <c r="F126" s="91"/>
      <c r="G126" s="91"/>
      <c r="H126" s="91"/>
      <c r="I126" s="91"/>
      <c r="J126" s="91"/>
      <c r="K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row>
    <row r="127" spans="2:239" ht="15" x14ac:dyDescent="0.2">
      <c r="B127" s="91"/>
      <c r="C127" s="91"/>
      <c r="D127" s="91"/>
      <c r="E127" s="227"/>
      <c r="F127" s="91"/>
      <c r="G127" s="91"/>
      <c r="H127" s="91"/>
      <c r="I127" s="91"/>
      <c r="J127" s="91"/>
      <c r="K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row>
    <row r="128" spans="2:239" ht="15" x14ac:dyDescent="0.2">
      <c r="B128" s="91"/>
      <c r="C128" s="91"/>
      <c r="D128" s="91"/>
      <c r="E128" s="227"/>
      <c r="F128" s="91"/>
      <c r="G128" s="91"/>
      <c r="H128" s="91"/>
      <c r="I128" s="91"/>
      <c r="J128" s="91"/>
      <c r="K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row>
    <row r="129" spans="2:239" ht="15" x14ac:dyDescent="0.2">
      <c r="B129" s="91"/>
      <c r="C129" s="91"/>
      <c r="D129" s="91"/>
      <c r="E129" s="227"/>
      <c r="F129" s="91"/>
      <c r="G129" s="91"/>
      <c r="H129" s="91"/>
      <c r="I129" s="91"/>
      <c r="J129" s="91"/>
      <c r="K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row>
    <row r="130" spans="2:239" ht="15" x14ac:dyDescent="0.2">
      <c r="B130" s="91"/>
      <c r="C130" s="91"/>
      <c r="D130" s="91"/>
      <c r="E130" s="227"/>
      <c r="F130" s="91"/>
      <c r="G130" s="91"/>
      <c r="H130" s="91"/>
      <c r="I130" s="91"/>
      <c r="J130" s="91"/>
      <c r="K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row>
    <row r="131" spans="2:239" ht="15" x14ac:dyDescent="0.2">
      <c r="B131" s="91"/>
      <c r="C131" s="91"/>
      <c r="D131" s="91"/>
      <c r="E131" s="227"/>
      <c r="F131" s="91"/>
      <c r="G131" s="91"/>
      <c r="H131" s="91"/>
      <c r="I131" s="91"/>
      <c r="J131" s="91"/>
      <c r="K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row>
    <row r="132" spans="2:239" ht="15" x14ac:dyDescent="0.2">
      <c r="B132" s="91"/>
      <c r="C132" s="91"/>
      <c r="D132" s="91"/>
      <c r="E132" s="227"/>
      <c r="F132" s="91"/>
      <c r="G132" s="91"/>
      <c r="H132" s="91"/>
      <c r="I132" s="91"/>
      <c r="J132" s="91"/>
      <c r="K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row>
    <row r="133" spans="2:239" ht="15" x14ac:dyDescent="0.2">
      <c r="B133" s="91"/>
      <c r="C133" s="91"/>
      <c r="D133" s="91"/>
      <c r="E133" s="227"/>
      <c r="F133" s="91"/>
      <c r="G133" s="91"/>
      <c r="H133" s="91"/>
      <c r="I133" s="91"/>
      <c r="J133" s="91"/>
      <c r="K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row>
    <row r="134" spans="2:239" ht="15" x14ac:dyDescent="0.2">
      <c r="B134" s="91"/>
      <c r="C134" s="91"/>
      <c r="D134" s="91"/>
      <c r="E134" s="227"/>
      <c r="F134" s="91"/>
      <c r="G134" s="91"/>
      <c r="H134" s="91"/>
      <c r="I134" s="91"/>
      <c r="J134" s="91"/>
      <c r="K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row>
    <row r="135" spans="2:239" ht="15" x14ac:dyDescent="0.2">
      <c r="B135" s="91"/>
      <c r="C135" s="91"/>
      <c r="D135" s="91"/>
      <c r="E135" s="227"/>
      <c r="F135" s="91"/>
      <c r="G135" s="91"/>
      <c r="H135" s="91"/>
      <c r="I135" s="91"/>
      <c r="J135" s="91"/>
      <c r="K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row>
    <row r="136" spans="2:239" ht="15" x14ac:dyDescent="0.2">
      <c r="B136" s="91"/>
      <c r="C136" s="91"/>
      <c r="D136" s="91"/>
      <c r="E136" s="227"/>
      <c r="F136" s="91"/>
      <c r="G136" s="91"/>
      <c r="H136" s="91"/>
      <c r="I136" s="91"/>
      <c r="J136" s="91"/>
      <c r="K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row>
    <row r="137" spans="2:239" ht="15" x14ac:dyDescent="0.2">
      <c r="B137" s="91"/>
      <c r="C137" s="91"/>
      <c r="D137" s="91"/>
      <c r="E137" s="227"/>
      <c r="F137" s="91"/>
      <c r="G137" s="91"/>
      <c r="H137" s="91"/>
      <c r="I137" s="91"/>
      <c r="J137" s="91"/>
      <c r="K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row>
    <row r="138" spans="2:239" ht="15" x14ac:dyDescent="0.2">
      <c r="B138" s="91"/>
      <c r="C138" s="91"/>
      <c r="D138" s="91"/>
      <c r="E138" s="227"/>
      <c r="F138" s="91"/>
      <c r="G138" s="91"/>
      <c r="H138" s="91"/>
      <c r="I138" s="91"/>
      <c r="J138" s="91"/>
      <c r="K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row>
    <row r="139" spans="2:239" ht="15" x14ac:dyDescent="0.2">
      <c r="B139" s="91"/>
      <c r="C139" s="91"/>
      <c r="D139" s="91"/>
      <c r="E139" s="227"/>
      <c r="F139" s="91"/>
      <c r="G139" s="91"/>
      <c r="H139" s="91"/>
      <c r="I139" s="91"/>
      <c r="J139" s="91"/>
      <c r="K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row>
    <row r="140" spans="2:239" ht="15" x14ac:dyDescent="0.2">
      <c r="B140" s="91"/>
      <c r="C140" s="91"/>
      <c r="D140" s="91"/>
      <c r="E140" s="227"/>
      <c r="F140" s="91"/>
      <c r="G140" s="91"/>
      <c r="H140" s="91"/>
      <c r="I140" s="91"/>
      <c r="J140" s="91"/>
      <c r="K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row>
    <row r="141" spans="2:239" ht="15" x14ac:dyDescent="0.2">
      <c r="B141" s="91"/>
      <c r="C141" s="91"/>
      <c r="D141" s="91"/>
      <c r="E141" s="227"/>
      <c r="F141" s="91"/>
      <c r="G141" s="91"/>
      <c r="H141" s="91"/>
      <c r="I141" s="91"/>
      <c r="J141" s="91"/>
      <c r="K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row>
    <row r="142" spans="2:239" ht="15" x14ac:dyDescent="0.2">
      <c r="B142" s="91"/>
      <c r="C142" s="91"/>
      <c r="D142" s="91"/>
      <c r="E142" s="227"/>
      <c r="F142" s="91"/>
      <c r="G142" s="91"/>
      <c r="H142" s="91"/>
      <c r="I142" s="91"/>
      <c r="J142" s="91"/>
      <c r="K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row>
    <row r="143" spans="2:239" ht="15" x14ac:dyDescent="0.2">
      <c r="B143" s="91"/>
      <c r="C143" s="91"/>
      <c r="D143" s="91"/>
      <c r="E143" s="227"/>
      <c r="F143" s="91"/>
      <c r="G143" s="91"/>
      <c r="H143" s="91"/>
      <c r="I143" s="91"/>
      <c r="J143" s="91"/>
      <c r="K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row>
    <row r="144" spans="2:239" ht="15" x14ac:dyDescent="0.2">
      <c r="B144" s="91"/>
      <c r="C144" s="91"/>
      <c r="D144" s="91"/>
      <c r="E144" s="227"/>
      <c r="F144" s="91"/>
      <c r="G144" s="91"/>
      <c r="H144" s="91"/>
      <c r="I144" s="91"/>
      <c r="J144" s="91"/>
      <c r="K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row>
    <row r="145" spans="2:239" ht="15" x14ac:dyDescent="0.2">
      <c r="B145" s="91"/>
      <c r="C145" s="91"/>
      <c r="D145" s="91"/>
      <c r="E145" s="227"/>
      <c r="F145" s="91"/>
      <c r="G145" s="91"/>
      <c r="H145" s="91"/>
      <c r="I145" s="91"/>
      <c r="J145" s="91"/>
      <c r="K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row>
    <row r="146" spans="2:239" ht="15" x14ac:dyDescent="0.2">
      <c r="B146" s="91"/>
      <c r="C146" s="91"/>
      <c r="D146" s="91"/>
      <c r="E146" s="227"/>
      <c r="F146" s="91"/>
      <c r="G146" s="91"/>
      <c r="H146" s="91"/>
      <c r="I146" s="91"/>
      <c r="J146" s="91"/>
      <c r="K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row>
    <row r="147" spans="2:239" ht="15" x14ac:dyDescent="0.2">
      <c r="B147" s="91"/>
      <c r="C147" s="91"/>
      <c r="D147" s="91"/>
      <c r="E147" s="227"/>
      <c r="F147" s="91"/>
      <c r="G147" s="91"/>
      <c r="H147" s="91"/>
      <c r="I147" s="91"/>
      <c r="J147" s="91"/>
      <c r="K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row>
    <row r="148" spans="2:239" ht="15" x14ac:dyDescent="0.2">
      <c r="B148" s="91"/>
      <c r="C148" s="91"/>
      <c r="D148" s="91"/>
      <c r="E148" s="227"/>
      <c r="F148" s="91"/>
      <c r="G148" s="91"/>
      <c r="H148" s="91"/>
      <c r="I148" s="91"/>
      <c r="J148" s="91"/>
      <c r="K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row>
    <row r="149" spans="2:239" ht="15" x14ac:dyDescent="0.2">
      <c r="B149" s="91"/>
      <c r="C149" s="91"/>
      <c r="D149" s="91"/>
      <c r="E149" s="227"/>
      <c r="F149" s="91"/>
      <c r="G149" s="91"/>
      <c r="H149" s="91"/>
      <c r="I149" s="91"/>
      <c r="J149" s="91"/>
      <c r="K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row>
    <row r="150" spans="2:239" ht="15" x14ac:dyDescent="0.2">
      <c r="B150" s="91"/>
      <c r="C150" s="91"/>
      <c r="D150" s="91"/>
      <c r="E150" s="227"/>
      <c r="F150" s="91"/>
      <c r="G150" s="91"/>
      <c r="H150" s="91"/>
      <c r="I150" s="91"/>
      <c r="J150" s="91"/>
      <c r="K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row>
    <row r="151" spans="2:239" ht="15" x14ac:dyDescent="0.2">
      <c r="B151" s="91"/>
      <c r="C151" s="91"/>
      <c r="D151" s="91"/>
      <c r="E151" s="227"/>
      <c r="F151" s="91"/>
      <c r="G151" s="91"/>
      <c r="H151" s="91"/>
      <c r="I151" s="91"/>
      <c r="J151" s="91"/>
      <c r="K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row>
    <row r="152" spans="2:239" ht="15" x14ac:dyDescent="0.2">
      <c r="B152" s="91"/>
      <c r="C152" s="91"/>
      <c r="D152" s="91"/>
      <c r="E152" s="227"/>
      <c r="F152" s="91"/>
      <c r="G152" s="91"/>
      <c r="H152" s="91"/>
      <c r="I152" s="91"/>
      <c r="J152" s="91"/>
      <c r="K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row>
    <row r="153" spans="2:239" ht="15" x14ac:dyDescent="0.2">
      <c r="B153" s="91"/>
      <c r="C153" s="91"/>
      <c r="D153" s="91"/>
      <c r="E153" s="227"/>
      <c r="F153" s="91"/>
      <c r="G153" s="91"/>
      <c r="H153" s="91"/>
      <c r="I153" s="91"/>
      <c r="J153" s="91"/>
      <c r="K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row>
    <row r="154" spans="2:239" ht="15" x14ac:dyDescent="0.2">
      <c r="B154" s="91"/>
      <c r="C154" s="91"/>
      <c r="D154" s="91"/>
      <c r="E154" s="227"/>
      <c r="F154" s="91"/>
      <c r="G154" s="91"/>
      <c r="H154" s="91"/>
      <c r="I154" s="91"/>
      <c r="J154" s="91"/>
      <c r="K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row>
    <row r="155" spans="2:239" ht="15" x14ac:dyDescent="0.2">
      <c r="B155" s="91"/>
      <c r="C155" s="91"/>
      <c r="D155" s="91"/>
      <c r="E155" s="227"/>
      <c r="F155" s="91"/>
      <c r="G155" s="91"/>
      <c r="H155" s="91"/>
      <c r="I155" s="91"/>
      <c r="J155" s="91"/>
      <c r="K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row>
    <row r="156" spans="2:239" ht="15" x14ac:dyDescent="0.2">
      <c r="B156" s="91"/>
      <c r="C156" s="91"/>
      <c r="D156" s="91"/>
      <c r="E156" s="227"/>
      <c r="F156" s="91"/>
      <c r="G156" s="91"/>
      <c r="H156" s="91"/>
      <c r="I156" s="91"/>
      <c r="J156" s="91"/>
      <c r="K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row>
    <row r="157" spans="2:239" ht="15" x14ac:dyDescent="0.2">
      <c r="B157" s="91"/>
      <c r="C157" s="91"/>
      <c r="D157" s="91"/>
      <c r="E157" s="227"/>
      <c r="F157" s="91"/>
      <c r="G157" s="91"/>
      <c r="H157" s="91"/>
      <c r="I157" s="91"/>
      <c r="J157" s="91"/>
      <c r="K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row>
    <row r="158" spans="2:239" ht="15" x14ac:dyDescent="0.2">
      <c r="B158" s="91"/>
      <c r="C158" s="91"/>
      <c r="D158" s="91"/>
      <c r="E158" s="227"/>
      <c r="F158" s="91"/>
      <c r="G158" s="91"/>
      <c r="H158" s="91"/>
      <c r="I158" s="91"/>
      <c r="J158" s="91"/>
      <c r="K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row>
    <row r="159" spans="2:239" ht="15" x14ac:dyDescent="0.2">
      <c r="B159" s="91"/>
      <c r="C159" s="91"/>
      <c r="D159" s="91"/>
      <c r="E159" s="227"/>
      <c r="F159" s="91"/>
      <c r="G159" s="91"/>
      <c r="H159" s="91"/>
      <c r="I159" s="91"/>
      <c r="J159" s="91"/>
      <c r="K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row>
    <row r="160" spans="2:239" ht="15" x14ac:dyDescent="0.2">
      <c r="B160" s="91"/>
      <c r="C160" s="91"/>
      <c r="D160" s="91"/>
      <c r="E160" s="227"/>
      <c r="F160" s="91"/>
      <c r="G160" s="91"/>
      <c r="H160" s="91"/>
      <c r="I160" s="91"/>
      <c r="J160" s="91"/>
      <c r="K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row>
    <row r="161" spans="2:239" ht="15" x14ac:dyDescent="0.2">
      <c r="B161" s="91"/>
      <c r="C161" s="91"/>
      <c r="D161" s="91"/>
      <c r="E161" s="227"/>
      <c r="F161" s="91"/>
      <c r="G161" s="91"/>
      <c r="H161" s="91"/>
      <c r="I161" s="91"/>
      <c r="J161" s="91"/>
      <c r="K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row>
    <row r="162" spans="2:239" ht="15" x14ac:dyDescent="0.2">
      <c r="B162" s="91"/>
      <c r="C162" s="91"/>
      <c r="D162" s="91"/>
      <c r="E162" s="227"/>
      <c r="F162" s="91"/>
      <c r="G162" s="91"/>
      <c r="H162" s="91"/>
      <c r="I162" s="91"/>
      <c r="J162" s="91"/>
      <c r="K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row>
    <row r="163" spans="2:239" ht="15" x14ac:dyDescent="0.2">
      <c r="B163" s="91"/>
      <c r="C163" s="91"/>
      <c r="D163" s="91"/>
      <c r="E163" s="227"/>
      <c r="F163" s="91"/>
      <c r="G163" s="91"/>
      <c r="H163" s="91"/>
      <c r="I163" s="91"/>
      <c r="J163" s="91"/>
      <c r="K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row>
    <row r="164" spans="2:239" ht="15" x14ac:dyDescent="0.2">
      <c r="B164" s="91"/>
      <c r="C164" s="91"/>
      <c r="D164" s="91"/>
      <c r="E164" s="227"/>
      <c r="F164" s="91"/>
      <c r="G164" s="91"/>
      <c r="H164" s="91"/>
      <c r="I164" s="91"/>
      <c r="J164" s="91"/>
      <c r="K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row>
    <row r="165" spans="2:239" ht="15" x14ac:dyDescent="0.2">
      <c r="B165" s="91"/>
      <c r="C165" s="91"/>
      <c r="D165" s="91"/>
      <c r="E165" s="227"/>
      <c r="F165" s="91"/>
      <c r="G165" s="91"/>
      <c r="H165" s="91"/>
      <c r="I165" s="91"/>
      <c r="J165" s="91"/>
      <c r="K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row>
    <row r="166" spans="2:239" ht="15" x14ac:dyDescent="0.2">
      <c r="B166" s="91"/>
      <c r="C166" s="91"/>
      <c r="D166" s="91"/>
      <c r="E166" s="227"/>
      <c r="F166" s="91"/>
      <c r="G166" s="91"/>
      <c r="H166" s="91"/>
      <c r="I166" s="91"/>
      <c r="J166" s="91"/>
      <c r="K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row>
    <row r="167" spans="2:239" ht="15" x14ac:dyDescent="0.2">
      <c r="B167" s="91"/>
      <c r="C167" s="91"/>
      <c r="D167" s="91"/>
      <c r="E167" s="227"/>
      <c r="F167" s="91"/>
      <c r="G167" s="91"/>
      <c r="H167" s="91"/>
      <c r="I167" s="91"/>
      <c r="J167" s="91"/>
      <c r="K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row>
    <row r="168" spans="2:239" ht="15" x14ac:dyDescent="0.2">
      <c r="B168" s="91"/>
      <c r="C168" s="91"/>
      <c r="D168" s="91"/>
      <c r="E168" s="227"/>
      <c r="F168" s="91"/>
      <c r="G168" s="91"/>
      <c r="H168" s="91"/>
      <c r="I168" s="91"/>
      <c r="J168" s="91"/>
      <c r="K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row>
    <row r="169" spans="2:239" ht="15" x14ac:dyDescent="0.2">
      <c r="B169" s="91"/>
      <c r="C169" s="91"/>
      <c r="D169" s="91"/>
      <c r="E169" s="227"/>
      <c r="F169" s="91"/>
      <c r="G169" s="91"/>
      <c r="H169" s="91"/>
      <c r="I169" s="91"/>
      <c r="J169" s="91"/>
      <c r="K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row>
    <row r="170" spans="2:239" ht="15" x14ac:dyDescent="0.2">
      <c r="B170" s="91"/>
      <c r="C170" s="91"/>
      <c r="D170" s="91"/>
      <c r="E170" s="227"/>
      <c r="F170" s="91"/>
      <c r="G170" s="91"/>
      <c r="H170" s="91"/>
      <c r="I170" s="91"/>
      <c r="J170" s="91"/>
      <c r="K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row>
    <row r="171" spans="2:239" ht="15" x14ac:dyDescent="0.2">
      <c r="B171" s="91"/>
      <c r="C171" s="91"/>
      <c r="D171" s="91"/>
      <c r="E171" s="227"/>
      <c r="F171" s="91"/>
      <c r="G171" s="91"/>
      <c r="H171" s="91"/>
      <c r="I171" s="91"/>
      <c r="J171" s="91"/>
      <c r="K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row>
    <row r="172" spans="2:239" ht="15" x14ac:dyDescent="0.2">
      <c r="B172" s="91"/>
      <c r="C172" s="91"/>
      <c r="D172" s="91"/>
      <c r="E172" s="227"/>
      <c r="F172" s="91"/>
      <c r="G172" s="91"/>
      <c r="H172" s="91"/>
      <c r="I172" s="91"/>
      <c r="J172" s="91"/>
      <c r="K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row>
    <row r="173" spans="2:239" ht="15" x14ac:dyDescent="0.2">
      <c r="B173" s="91"/>
      <c r="C173" s="91"/>
      <c r="D173" s="91"/>
      <c r="E173" s="227"/>
      <c r="F173" s="91"/>
      <c r="G173" s="91"/>
      <c r="H173" s="91"/>
      <c r="I173" s="91"/>
      <c r="J173" s="91"/>
      <c r="K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row>
    <row r="174" spans="2:239" ht="15" x14ac:dyDescent="0.2">
      <c r="B174" s="91"/>
      <c r="C174" s="91"/>
      <c r="D174" s="91"/>
      <c r="E174" s="227"/>
      <c r="F174" s="91"/>
      <c r="G174" s="91"/>
      <c r="H174" s="91"/>
      <c r="I174" s="91"/>
      <c r="J174" s="91"/>
      <c r="K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row>
    <row r="175" spans="2:239" ht="15" x14ac:dyDescent="0.2">
      <c r="B175" s="91"/>
      <c r="C175" s="91"/>
      <c r="D175" s="91"/>
      <c r="E175" s="227"/>
      <c r="F175" s="91"/>
      <c r="G175" s="91"/>
      <c r="H175" s="91"/>
      <c r="I175" s="91"/>
      <c r="J175" s="91"/>
      <c r="K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row>
    <row r="176" spans="2:239" ht="15" x14ac:dyDescent="0.2">
      <c r="B176" s="91"/>
      <c r="C176" s="91"/>
      <c r="D176" s="91"/>
      <c r="E176" s="227"/>
      <c r="F176" s="91"/>
      <c r="G176" s="91"/>
      <c r="H176" s="91"/>
      <c r="I176" s="91"/>
      <c r="J176" s="91"/>
      <c r="K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row>
    <row r="177" spans="2:239" ht="15" x14ac:dyDescent="0.2">
      <c r="B177" s="91"/>
      <c r="C177" s="91"/>
      <c r="D177" s="91"/>
      <c r="E177" s="227"/>
      <c r="F177" s="91"/>
      <c r="G177" s="91"/>
      <c r="H177" s="91"/>
      <c r="I177" s="91"/>
      <c r="J177" s="91"/>
      <c r="K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row>
    <row r="178" spans="2:239" ht="15" x14ac:dyDescent="0.2">
      <c r="B178" s="91"/>
      <c r="C178" s="91"/>
      <c r="D178" s="91"/>
      <c r="E178" s="227"/>
      <c r="F178" s="91"/>
      <c r="G178" s="91"/>
      <c r="H178" s="91"/>
      <c r="I178" s="91"/>
      <c r="J178" s="91"/>
      <c r="K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row>
    <row r="179" spans="2:239" ht="15" x14ac:dyDescent="0.2">
      <c r="B179" s="91"/>
      <c r="C179" s="91"/>
      <c r="D179" s="91"/>
      <c r="E179" s="227"/>
      <c r="F179" s="91"/>
      <c r="G179" s="91"/>
      <c r="H179" s="91"/>
      <c r="I179" s="91"/>
      <c r="J179" s="91"/>
      <c r="K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row>
    <row r="180" spans="2:239" ht="15" x14ac:dyDescent="0.2">
      <c r="B180" s="91"/>
      <c r="C180" s="91"/>
      <c r="D180" s="91"/>
      <c r="E180" s="227"/>
      <c r="F180" s="91"/>
      <c r="G180" s="91"/>
      <c r="H180" s="91"/>
      <c r="I180" s="91"/>
      <c r="J180" s="91"/>
      <c r="K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row>
    <row r="181" spans="2:239" ht="15" x14ac:dyDescent="0.2">
      <c r="B181" s="91"/>
      <c r="C181" s="91"/>
      <c r="D181" s="91"/>
      <c r="E181" s="227"/>
      <c r="F181" s="91"/>
      <c r="G181" s="91"/>
      <c r="H181" s="91"/>
      <c r="I181" s="91"/>
      <c r="J181" s="91"/>
      <c r="K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row>
    <row r="182" spans="2:239" ht="15" x14ac:dyDescent="0.2">
      <c r="B182" s="91"/>
      <c r="C182" s="91"/>
      <c r="D182" s="91"/>
      <c r="E182" s="227"/>
      <c r="F182" s="91"/>
      <c r="G182" s="91"/>
      <c r="H182" s="91"/>
      <c r="I182" s="91"/>
      <c r="J182" s="91"/>
      <c r="K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row>
    <row r="183" spans="2:239" ht="15" x14ac:dyDescent="0.2">
      <c r="B183" s="91"/>
      <c r="C183" s="91"/>
      <c r="D183" s="91"/>
      <c r="E183" s="227"/>
      <c r="F183" s="91"/>
      <c r="G183" s="91"/>
      <c r="H183" s="91"/>
      <c r="I183" s="91"/>
      <c r="J183" s="91"/>
      <c r="K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row>
    <row r="184" spans="2:239" ht="15" x14ac:dyDescent="0.2">
      <c r="B184" s="91"/>
      <c r="C184" s="91"/>
      <c r="D184" s="91"/>
      <c r="E184" s="227"/>
      <c r="F184" s="91"/>
      <c r="G184" s="91"/>
      <c r="H184" s="91"/>
      <c r="I184" s="91"/>
      <c r="J184" s="91"/>
      <c r="K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row>
    <row r="185" spans="2:239" ht="15" x14ac:dyDescent="0.2">
      <c r="B185" s="91"/>
      <c r="C185" s="91"/>
      <c r="D185" s="91"/>
      <c r="E185" s="227"/>
      <c r="F185" s="91"/>
      <c r="G185" s="91"/>
      <c r="H185" s="91"/>
      <c r="I185" s="91"/>
      <c r="J185" s="91"/>
      <c r="K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row>
    <row r="186" spans="2:239" ht="15" x14ac:dyDescent="0.2">
      <c r="B186" s="91"/>
      <c r="C186" s="91"/>
      <c r="D186" s="91"/>
      <c r="E186" s="227"/>
      <c r="F186" s="91"/>
      <c r="G186" s="91"/>
      <c r="H186" s="91"/>
      <c r="I186" s="91"/>
      <c r="J186" s="91"/>
      <c r="K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row>
    <row r="187" spans="2:239" ht="15" x14ac:dyDescent="0.2">
      <c r="B187" s="91"/>
      <c r="C187" s="91"/>
      <c r="D187" s="91"/>
      <c r="E187" s="227"/>
      <c r="F187" s="91"/>
      <c r="G187" s="91"/>
      <c r="H187" s="91"/>
      <c r="I187" s="91"/>
      <c r="J187" s="91"/>
      <c r="K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row>
    <row r="188" spans="2:239" ht="15" x14ac:dyDescent="0.2">
      <c r="B188" s="91"/>
      <c r="C188" s="91"/>
      <c r="D188" s="91"/>
      <c r="E188" s="227"/>
      <c r="F188" s="91"/>
      <c r="G188" s="91"/>
      <c r="H188" s="91"/>
      <c r="I188" s="91"/>
      <c r="J188" s="91"/>
      <c r="K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row>
    <row r="189" spans="2:239" ht="15" x14ac:dyDescent="0.2">
      <c r="B189" s="91"/>
      <c r="C189" s="91"/>
      <c r="D189" s="91"/>
      <c r="E189" s="227"/>
      <c r="F189" s="91"/>
      <c r="G189" s="91"/>
      <c r="H189" s="91"/>
      <c r="I189" s="91"/>
      <c r="J189" s="91"/>
      <c r="K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row>
    <row r="190" spans="2:239" ht="15" x14ac:dyDescent="0.2">
      <c r="B190" s="91"/>
      <c r="C190" s="91"/>
      <c r="D190" s="91"/>
      <c r="E190" s="227"/>
      <c r="F190" s="91"/>
      <c r="G190" s="91"/>
      <c r="H190" s="91"/>
      <c r="I190" s="91"/>
      <c r="J190" s="91"/>
      <c r="K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row>
    <row r="191" spans="2:239" ht="15" x14ac:dyDescent="0.2">
      <c r="B191" s="91"/>
      <c r="C191" s="91"/>
      <c r="D191" s="91"/>
      <c r="E191" s="227"/>
      <c r="F191" s="91"/>
      <c r="G191" s="91"/>
      <c r="H191" s="91"/>
      <c r="I191" s="91"/>
      <c r="J191" s="91"/>
      <c r="K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row>
    <row r="192" spans="2:239" ht="15" x14ac:dyDescent="0.2">
      <c r="B192" s="91"/>
      <c r="C192" s="91"/>
      <c r="D192" s="91"/>
      <c r="E192" s="227"/>
      <c r="F192" s="91"/>
      <c r="G192" s="91"/>
      <c r="H192" s="91"/>
      <c r="I192" s="91"/>
      <c r="J192" s="91"/>
      <c r="K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row>
    <row r="193" spans="2:239" ht="15" x14ac:dyDescent="0.2">
      <c r="B193" s="91"/>
      <c r="C193" s="91"/>
      <c r="D193" s="91"/>
      <c r="E193" s="227"/>
      <c r="F193" s="91"/>
      <c r="G193" s="91"/>
      <c r="H193" s="91"/>
      <c r="I193" s="91"/>
      <c r="J193" s="91"/>
      <c r="K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row>
    <row r="194" spans="2:239" ht="15" x14ac:dyDescent="0.2">
      <c r="B194" s="91"/>
      <c r="C194" s="91"/>
      <c r="D194" s="91"/>
      <c r="E194" s="227"/>
      <c r="F194" s="91"/>
      <c r="G194" s="91"/>
      <c r="H194" s="91"/>
      <c r="I194" s="91"/>
      <c r="J194" s="91"/>
      <c r="K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row>
    <row r="195" spans="2:239" ht="15" x14ac:dyDescent="0.2">
      <c r="B195" s="91"/>
      <c r="C195" s="91"/>
      <c r="D195" s="91"/>
      <c r="E195" s="227"/>
      <c r="F195" s="91"/>
      <c r="G195" s="91"/>
      <c r="H195" s="91"/>
      <c r="I195" s="91"/>
      <c r="J195" s="91"/>
      <c r="K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row>
    <row r="196" spans="2:239" ht="15" x14ac:dyDescent="0.2">
      <c r="B196" s="91"/>
      <c r="C196" s="91"/>
      <c r="D196" s="91"/>
      <c r="E196" s="227"/>
      <c r="F196" s="91"/>
      <c r="G196" s="91"/>
      <c r="H196" s="91"/>
      <c r="I196" s="91"/>
      <c r="J196" s="91"/>
      <c r="K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row>
    <row r="197" spans="2:239" ht="15" x14ac:dyDescent="0.2">
      <c r="B197" s="91"/>
      <c r="C197" s="91"/>
      <c r="D197" s="91"/>
      <c r="E197" s="227"/>
      <c r="F197" s="91"/>
      <c r="G197" s="91"/>
      <c r="H197" s="91"/>
      <c r="I197" s="91"/>
      <c r="J197" s="91"/>
      <c r="K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row>
    <row r="198" spans="2:239" ht="15" x14ac:dyDescent="0.2">
      <c r="B198" s="91"/>
      <c r="C198" s="91"/>
      <c r="D198" s="91"/>
      <c r="E198" s="227"/>
      <c r="F198" s="91"/>
      <c r="G198" s="91"/>
      <c r="H198" s="91"/>
      <c r="I198" s="91"/>
      <c r="J198" s="91"/>
      <c r="K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row>
    <row r="199" spans="2:239" ht="15" x14ac:dyDescent="0.2">
      <c r="B199" s="91"/>
      <c r="C199" s="91"/>
      <c r="D199" s="91"/>
      <c r="E199" s="227"/>
      <c r="F199" s="91"/>
      <c r="G199" s="91"/>
      <c r="H199" s="91"/>
      <c r="I199" s="91"/>
      <c r="J199" s="91"/>
      <c r="K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row>
    <row r="200" spans="2:239" ht="15" x14ac:dyDescent="0.2">
      <c r="B200" s="91"/>
      <c r="C200" s="91"/>
      <c r="D200" s="91"/>
      <c r="E200" s="227"/>
      <c r="F200" s="91"/>
      <c r="G200" s="91"/>
      <c r="H200" s="91"/>
      <c r="I200" s="91"/>
      <c r="J200" s="91"/>
      <c r="K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row>
    <row r="201" spans="2:239" ht="15" x14ac:dyDescent="0.2">
      <c r="B201" s="91"/>
      <c r="C201" s="91"/>
      <c r="D201" s="91"/>
      <c r="E201" s="227"/>
      <c r="F201" s="91"/>
      <c r="G201" s="91"/>
      <c r="H201" s="91"/>
      <c r="I201" s="91"/>
      <c r="J201" s="91"/>
      <c r="K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row>
    <row r="202" spans="2:239" ht="15" x14ac:dyDescent="0.2">
      <c r="B202" s="91"/>
      <c r="C202" s="91"/>
      <c r="D202" s="91"/>
      <c r="E202" s="227"/>
      <c r="F202" s="91"/>
      <c r="G202" s="91"/>
      <c r="H202" s="91"/>
      <c r="I202" s="91"/>
      <c r="J202" s="91"/>
      <c r="K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row>
    <row r="203" spans="2:239" ht="15" x14ac:dyDescent="0.2">
      <c r="B203" s="91"/>
      <c r="C203" s="91"/>
      <c r="D203" s="91"/>
      <c r="E203" s="227"/>
      <c r="F203" s="91"/>
      <c r="G203" s="91"/>
      <c r="H203" s="91"/>
      <c r="I203" s="91"/>
      <c r="J203" s="91"/>
      <c r="K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row>
    <row r="204" spans="2:239" ht="15" x14ac:dyDescent="0.2">
      <c r="B204" s="91"/>
      <c r="C204" s="91"/>
      <c r="D204" s="91"/>
      <c r="E204" s="227"/>
      <c r="F204" s="91"/>
      <c r="G204" s="91"/>
      <c r="H204" s="91"/>
      <c r="I204" s="91"/>
      <c r="J204" s="91"/>
      <c r="K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row>
    <row r="205" spans="2:239" ht="15" x14ac:dyDescent="0.2">
      <c r="B205" s="91"/>
      <c r="C205" s="91"/>
      <c r="D205" s="91"/>
      <c r="E205" s="227"/>
      <c r="F205" s="91"/>
      <c r="G205" s="91"/>
      <c r="H205" s="91"/>
      <c r="I205" s="91"/>
      <c r="J205" s="91"/>
      <c r="K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row>
    <row r="206" spans="2:239" ht="15" x14ac:dyDescent="0.2">
      <c r="B206" s="91"/>
      <c r="C206" s="91"/>
      <c r="D206" s="91"/>
      <c r="E206" s="227"/>
      <c r="F206" s="91"/>
      <c r="G206" s="91"/>
      <c r="H206" s="91"/>
      <c r="I206" s="91"/>
      <c r="J206" s="91"/>
      <c r="K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row>
    <row r="207" spans="2:239" ht="15" x14ac:dyDescent="0.2">
      <c r="B207" s="91"/>
      <c r="C207" s="91"/>
      <c r="D207" s="91"/>
      <c r="E207" s="227"/>
      <c r="F207" s="91"/>
      <c r="G207" s="91"/>
      <c r="H207" s="91"/>
      <c r="I207" s="91"/>
      <c r="J207" s="91"/>
      <c r="K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row>
    <row r="208" spans="2:239" ht="15" x14ac:dyDescent="0.2">
      <c r="B208" s="91"/>
      <c r="C208" s="91"/>
      <c r="D208" s="91"/>
      <c r="E208" s="227"/>
      <c r="F208" s="91"/>
      <c r="G208" s="91"/>
      <c r="H208" s="91"/>
      <c r="I208" s="91"/>
      <c r="J208" s="91"/>
      <c r="K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row>
    <row r="209" spans="2:239" ht="15" x14ac:dyDescent="0.2">
      <c r="B209" s="91"/>
      <c r="C209" s="91"/>
      <c r="D209" s="91"/>
      <c r="E209" s="227"/>
      <c r="F209" s="91"/>
      <c r="G209" s="91"/>
      <c r="H209" s="91"/>
      <c r="I209" s="91"/>
      <c r="J209" s="91"/>
      <c r="K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row>
    <row r="210" spans="2:239" ht="15" x14ac:dyDescent="0.2">
      <c r="B210" s="91"/>
      <c r="C210" s="91"/>
      <c r="D210" s="91"/>
      <c r="E210" s="227"/>
      <c r="F210" s="91"/>
      <c r="G210" s="91"/>
      <c r="H210" s="91"/>
      <c r="I210" s="91"/>
      <c r="J210" s="91"/>
      <c r="K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row>
    <row r="211" spans="2:239" ht="15" x14ac:dyDescent="0.2">
      <c r="B211" s="91"/>
      <c r="C211" s="91"/>
      <c r="D211" s="91"/>
      <c r="E211" s="227"/>
      <c r="F211" s="91"/>
      <c r="G211" s="91"/>
      <c r="H211" s="91"/>
      <c r="I211" s="91"/>
      <c r="J211" s="91"/>
      <c r="K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row>
    <row r="212" spans="2:239" ht="15" x14ac:dyDescent="0.2">
      <c r="B212" s="91"/>
      <c r="C212" s="91"/>
      <c r="D212" s="91"/>
      <c r="E212" s="227"/>
      <c r="F212" s="91"/>
      <c r="G212" s="91"/>
      <c r="H212" s="91"/>
      <c r="I212" s="91"/>
      <c r="J212" s="91"/>
      <c r="K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row>
    <row r="213" spans="2:239" ht="15" x14ac:dyDescent="0.2">
      <c r="B213" s="91"/>
      <c r="C213" s="91"/>
      <c r="D213" s="91"/>
      <c r="E213" s="227"/>
      <c r="F213" s="91"/>
      <c r="G213" s="91"/>
      <c r="H213" s="91"/>
      <c r="I213" s="91"/>
      <c r="J213" s="91"/>
      <c r="K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row>
    <row r="214" spans="2:239" ht="15" x14ac:dyDescent="0.2">
      <c r="B214" s="91"/>
      <c r="C214" s="91"/>
      <c r="D214" s="91"/>
      <c r="E214" s="227"/>
      <c r="F214" s="91"/>
      <c r="G214" s="91"/>
      <c r="H214" s="91"/>
      <c r="I214" s="91"/>
      <c r="J214" s="91"/>
      <c r="K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row>
    <row r="215" spans="2:239" ht="15" x14ac:dyDescent="0.2">
      <c r="B215" s="91"/>
      <c r="C215" s="91"/>
      <c r="D215" s="91"/>
      <c r="E215" s="227"/>
      <c r="F215" s="91"/>
      <c r="G215" s="91"/>
      <c r="H215" s="91"/>
      <c r="I215" s="91"/>
      <c r="J215" s="91"/>
      <c r="K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row>
    <row r="216" spans="2:239" ht="15" x14ac:dyDescent="0.2">
      <c r="B216" s="91"/>
      <c r="C216" s="91"/>
      <c r="D216" s="91"/>
      <c r="E216" s="227"/>
      <c r="F216" s="91"/>
      <c r="G216" s="91"/>
      <c r="H216" s="91"/>
      <c r="I216" s="91"/>
      <c r="J216" s="91"/>
      <c r="K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row>
    <row r="217" spans="2:239" ht="15" x14ac:dyDescent="0.2">
      <c r="B217" s="91"/>
      <c r="C217" s="91"/>
      <c r="D217" s="91"/>
      <c r="E217" s="227"/>
      <c r="F217" s="91"/>
      <c r="G217" s="91"/>
      <c r="H217" s="91"/>
      <c r="I217" s="91"/>
      <c r="J217" s="91"/>
      <c r="K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row>
    <row r="218" spans="2:239" ht="15" x14ac:dyDescent="0.2">
      <c r="B218" s="91"/>
      <c r="C218" s="91"/>
      <c r="D218" s="91"/>
      <c r="E218" s="227"/>
      <c r="F218" s="91"/>
      <c r="G218" s="91"/>
      <c r="H218" s="91"/>
      <c r="I218" s="91"/>
      <c r="J218" s="91"/>
      <c r="K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row>
    <row r="219" spans="2:239" ht="15" x14ac:dyDescent="0.2">
      <c r="B219" s="91"/>
      <c r="C219" s="91"/>
      <c r="D219" s="91"/>
      <c r="E219" s="227"/>
      <c r="F219" s="91"/>
      <c r="G219" s="91"/>
      <c r="H219" s="91"/>
      <c r="I219" s="91"/>
      <c r="J219" s="91"/>
      <c r="K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row>
    <row r="220" spans="2:239" ht="15" x14ac:dyDescent="0.2">
      <c r="B220" s="91"/>
      <c r="C220" s="91"/>
      <c r="D220" s="91"/>
      <c r="E220" s="227"/>
      <c r="F220" s="91"/>
      <c r="G220" s="91"/>
      <c r="H220" s="91"/>
      <c r="I220" s="91"/>
      <c r="J220" s="91"/>
      <c r="K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row>
    <row r="221" spans="2:239" ht="15" x14ac:dyDescent="0.2">
      <c r="B221" s="91"/>
      <c r="C221" s="91"/>
      <c r="D221" s="91"/>
      <c r="E221" s="227"/>
      <c r="F221" s="91"/>
      <c r="G221" s="91"/>
      <c r="H221" s="91"/>
      <c r="I221" s="91"/>
      <c r="J221" s="91"/>
      <c r="K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row>
    <row r="222" spans="2:239" ht="15" x14ac:dyDescent="0.2">
      <c r="B222" s="91"/>
      <c r="C222" s="91"/>
      <c r="D222" s="91"/>
      <c r="E222" s="227"/>
      <c r="F222" s="91"/>
      <c r="G222" s="91"/>
      <c r="H222" s="91"/>
      <c r="I222" s="91"/>
      <c r="J222" s="91"/>
      <c r="K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row>
    <row r="223" spans="2:239" ht="15" x14ac:dyDescent="0.2">
      <c r="B223" s="91"/>
      <c r="C223" s="91"/>
      <c r="D223" s="91"/>
      <c r="E223" s="227"/>
      <c r="F223" s="91"/>
      <c r="G223" s="91"/>
      <c r="H223" s="91"/>
      <c r="I223" s="91"/>
      <c r="J223" s="91"/>
      <c r="K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row>
    <row r="224" spans="2:239" ht="15" x14ac:dyDescent="0.2">
      <c r="B224" s="91"/>
      <c r="C224" s="91"/>
      <c r="D224" s="91"/>
      <c r="E224" s="227"/>
      <c r="F224" s="91"/>
      <c r="G224" s="91"/>
      <c r="H224" s="91"/>
      <c r="I224" s="91"/>
      <c r="J224" s="91"/>
      <c r="K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row>
    <row r="225" spans="2:239" ht="15" x14ac:dyDescent="0.2">
      <c r="B225" s="91"/>
      <c r="C225" s="91"/>
      <c r="D225" s="91"/>
      <c r="E225" s="227"/>
      <c r="F225" s="91"/>
      <c r="G225" s="91"/>
      <c r="H225" s="91"/>
      <c r="I225" s="91"/>
      <c r="J225" s="91"/>
      <c r="K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row>
    <row r="226" spans="2:239" ht="15" x14ac:dyDescent="0.2">
      <c r="B226" s="91"/>
      <c r="C226" s="91"/>
      <c r="D226" s="91"/>
      <c r="E226" s="227"/>
      <c r="F226" s="91"/>
      <c r="G226" s="91"/>
      <c r="H226" s="91"/>
      <c r="I226" s="91"/>
      <c r="J226" s="91"/>
      <c r="K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row>
    <row r="227" spans="2:239" ht="15" x14ac:dyDescent="0.2">
      <c r="B227" s="91"/>
      <c r="C227" s="91"/>
      <c r="D227" s="91"/>
      <c r="E227" s="227"/>
      <c r="F227" s="91"/>
      <c r="G227" s="91"/>
      <c r="H227" s="91"/>
      <c r="I227" s="91"/>
      <c r="J227" s="91"/>
      <c r="K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row>
    <row r="228" spans="2:239" ht="15" x14ac:dyDescent="0.2">
      <c r="B228" s="91"/>
      <c r="C228" s="91"/>
      <c r="D228" s="91"/>
      <c r="E228" s="227"/>
      <c r="F228" s="91"/>
      <c r="G228" s="91"/>
      <c r="H228" s="91"/>
      <c r="I228" s="91"/>
      <c r="J228" s="91"/>
      <c r="K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row>
    <row r="229" spans="2:239" ht="15" x14ac:dyDescent="0.2">
      <c r="B229" s="91"/>
      <c r="C229" s="91"/>
      <c r="D229" s="91"/>
      <c r="E229" s="227"/>
      <c r="F229" s="91"/>
      <c r="G229" s="91"/>
      <c r="H229" s="91"/>
      <c r="I229" s="91"/>
      <c r="J229" s="91"/>
      <c r="K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row>
    <row r="230" spans="2:239" ht="15" x14ac:dyDescent="0.2">
      <c r="B230" s="91"/>
      <c r="C230" s="91"/>
      <c r="D230" s="91"/>
      <c r="E230" s="227"/>
      <c r="F230" s="91"/>
      <c r="G230" s="91"/>
      <c r="H230" s="91"/>
      <c r="I230" s="91"/>
      <c r="J230" s="91"/>
      <c r="K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row>
    <row r="231" spans="2:239" ht="15" x14ac:dyDescent="0.2">
      <c r="B231" s="91"/>
      <c r="C231" s="91"/>
      <c r="D231" s="91"/>
      <c r="E231" s="227"/>
      <c r="F231" s="91"/>
      <c r="G231" s="91"/>
      <c r="H231" s="91"/>
      <c r="I231" s="91"/>
      <c r="J231" s="91"/>
      <c r="K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row>
    <row r="232" spans="2:239" ht="15" x14ac:dyDescent="0.2">
      <c r="B232" s="91"/>
      <c r="C232" s="91"/>
      <c r="D232" s="91"/>
      <c r="E232" s="227"/>
      <c r="F232" s="91"/>
      <c r="G232" s="91"/>
      <c r="H232" s="91"/>
      <c r="I232" s="91"/>
      <c r="J232" s="91"/>
      <c r="K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row>
    <row r="233" spans="2:239" ht="15" x14ac:dyDescent="0.2">
      <c r="B233" s="91"/>
      <c r="C233" s="91"/>
      <c r="D233" s="91"/>
      <c r="E233" s="227"/>
      <c r="F233" s="91"/>
      <c r="G233" s="91"/>
      <c r="H233" s="91"/>
      <c r="I233" s="91"/>
      <c r="J233" s="91"/>
      <c r="K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row>
    <row r="234" spans="2:239" ht="15" x14ac:dyDescent="0.2">
      <c r="B234" s="91"/>
      <c r="C234" s="91"/>
      <c r="D234" s="91"/>
      <c r="E234" s="227"/>
      <c r="F234" s="91"/>
      <c r="G234" s="91"/>
      <c r="H234" s="91"/>
      <c r="I234" s="91"/>
      <c r="J234" s="91"/>
      <c r="K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row>
    <row r="235" spans="2:239" ht="15" x14ac:dyDescent="0.2">
      <c r="B235" s="91"/>
      <c r="C235" s="91"/>
      <c r="D235" s="91"/>
      <c r="E235" s="227"/>
      <c r="F235" s="91"/>
      <c r="G235" s="91"/>
      <c r="H235" s="91"/>
      <c r="I235" s="91"/>
      <c r="J235" s="91"/>
      <c r="K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row>
    <row r="236" spans="2:239" ht="15" x14ac:dyDescent="0.2">
      <c r="B236" s="91"/>
      <c r="C236" s="91"/>
      <c r="D236" s="91"/>
      <c r="E236" s="227"/>
      <c r="F236" s="91"/>
      <c r="G236" s="91"/>
      <c r="H236" s="91"/>
      <c r="I236" s="91"/>
      <c r="J236" s="91"/>
      <c r="K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row>
    <row r="237" spans="2:239" ht="15" x14ac:dyDescent="0.2">
      <c r="B237" s="91"/>
      <c r="C237" s="91"/>
      <c r="D237" s="91"/>
      <c r="E237" s="227"/>
      <c r="F237" s="91"/>
      <c r="G237" s="91"/>
      <c r="H237" s="91"/>
      <c r="I237" s="91"/>
      <c r="J237" s="91"/>
      <c r="K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row>
    <row r="238" spans="2:239" ht="15" x14ac:dyDescent="0.2">
      <c r="B238" s="91"/>
      <c r="C238" s="91"/>
      <c r="D238" s="91"/>
      <c r="E238" s="227"/>
      <c r="F238" s="91"/>
      <c r="G238" s="91"/>
      <c r="H238" s="91"/>
      <c r="I238" s="91"/>
      <c r="J238" s="91"/>
      <c r="K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row>
    <row r="239" spans="2:239" ht="15" x14ac:dyDescent="0.2">
      <c r="B239" s="91"/>
      <c r="C239" s="91"/>
      <c r="D239" s="91"/>
      <c r="E239" s="227"/>
      <c r="F239" s="91"/>
      <c r="G239" s="91"/>
      <c r="H239" s="91"/>
      <c r="I239" s="91"/>
      <c r="J239" s="91"/>
      <c r="K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row>
    <row r="240" spans="2:239" ht="15" x14ac:dyDescent="0.2">
      <c r="B240" s="91"/>
      <c r="C240" s="91"/>
      <c r="D240" s="91"/>
      <c r="E240" s="227"/>
      <c r="F240" s="91"/>
      <c r="G240" s="91"/>
      <c r="H240" s="91"/>
      <c r="I240" s="91"/>
      <c r="J240" s="91"/>
      <c r="K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row>
    <row r="241" spans="2:239" ht="15" x14ac:dyDescent="0.2">
      <c r="B241" s="91"/>
      <c r="C241" s="91"/>
      <c r="D241" s="91"/>
      <c r="E241" s="227"/>
      <c r="F241" s="91"/>
      <c r="G241" s="91"/>
      <c r="H241" s="91"/>
      <c r="I241" s="91"/>
      <c r="J241" s="91"/>
      <c r="K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row>
    <row r="242" spans="2:239" ht="15" x14ac:dyDescent="0.2">
      <c r="B242" s="91"/>
      <c r="C242" s="91"/>
      <c r="D242" s="91"/>
      <c r="E242" s="227"/>
      <c r="F242" s="91"/>
      <c r="G242" s="91"/>
      <c r="H242" s="91"/>
      <c r="I242" s="91"/>
      <c r="J242" s="91"/>
      <c r="K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row>
    <row r="243" spans="2:239" ht="15" x14ac:dyDescent="0.2">
      <c r="B243" s="91"/>
      <c r="C243" s="91"/>
      <c r="D243" s="91"/>
      <c r="E243" s="227"/>
      <c r="F243" s="91"/>
      <c r="G243" s="91"/>
      <c r="H243" s="91"/>
      <c r="I243" s="91"/>
      <c r="J243" s="91"/>
      <c r="K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row>
    <row r="244" spans="2:239" ht="15" x14ac:dyDescent="0.2">
      <c r="B244" s="91"/>
      <c r="C244" s="91"/>
      <c r="D244" s="91"/>
      <c r="E244" s="227"/>
      <c r="F244" s="91"/>
      <c r="G244" s="91"/>
      <c r="H244" s="91"/>
      <c r="I244" s="91"/>
      <c r="J244" s="91"/>
      <c r="K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row>
    <row r="245" spans="2:239" ht="15" x14ac:dyDescent="0.2">
      <c r="B245" s="91"/>
      <c r="C245" s="91"/>
      <c r="D245" s="91"/>
      <c r="E245" s="227"/>
      <c r="F245" s="91"/>
      <c r="G245" s="91"/>
      <c r="H245" s="91"/>
      <c r="I245" s="91"/>
      <c r="J245" s="91"/>
      <c r="K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row>
    <row r="246" spans="2:239" ht="15" x14ac:dyDescent="0.2">
      <c r="B246" s="91"/>
      <c r="C246" s="91"/>
      <c r="D246" s="91"/>
      <c r="E246" s="227"/>
      <c r="F246" s="91"/>
      <c r="G246" s="91"/>
      <c r="H246" s="91"/>
      <c r="I246" s="91"/>
      <c r="J246" s="91"/>
      <c r="K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row>
    <row r="247" spans="2:239" ht="15" x14ac:dyDescent="0.2">
      <c r="B247" s="91"/>
      <c r="C247" s="91"/>
      <c r="D247" s="91"/>
      <c r="E247" s="227"/>
      <c r="F247" s="91"/>
      <c r="G247" s="91"/>
      <c r="H247" s="91"/>
      <c r="I247" s="91"/>
      <c r="J247" s="91"/>
      <c r="K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row>
    <row r="248" spans="2:239" ht="15" x14ac:dyDescent="0.2">
      <c r="B248" s="91"/>
      <c r="C248" s="91"/>
      <c r="D248" s="91"/>
      <c r="E248" s="227"/>
      <c r="F248" s="91"/>
      <c r="G248" s="91"/>
      <c r="H248" s="91"/>
      <c r="I248" s="91"/>
      <c r="J248" s="91"/>
      <c r="K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row>
    <row r="249" spans="2:239" ht="15" x14ac:dyDescent="0.2">
      <c r="B249" s="91"/>
      <c r="C249" s="91"/>
      <c r="D249" s="91"/>
      <c r="E249" s="227"/>
      <c r="F249" s="91"/>
      <c r="G249" s="91"/>
      <c r="H249" s="91"/>
      <c r="I249" s="91"/>
      <c r="J249" s="91"/>
      <c r="K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row>
    <row r="250" spans="2:239" ht="15" x14ac:dyDescent="0.2">
      <c r="B250" s="91"/>
      <c r="C250" s="91"/>
      <c r="D250" s="91"/>
      <c r="E250" s="227"/>
      <c r="F250" s="91"/>
      <c r="G250" s="91"/>
      <c r="H250" s="91"/>
      <c r="I250" s="91"/>
      <c r="J250" s="91"/>
      <c r="K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row>
    <row r="251" spans="2:239" ht="15" x14ac:dyDescent="0.2">
      <c r="B251" s="91"/>
      <c r="C251" s="91"/>
      <c r="D251" s="91"/>
      <c r="E251" s="227"/>
      <c r="F251" s="91"/>
      <c r="G251" s="91"/>
      <c r="H251" s="91"/>
      <c r="I251" s="91"/>
      <c r="J251" s="91"/>
      <c r="K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row>
    <row r="252" spans="2:239" ht="15" x14ac:dyDescent="0.2">
      <c r="B252" s="91"/>
      <c r="C252" s="91"/>
      <c r="D252" s="91"/>
      <c r="E252" s="227"/>
      <c r="F252" s="91"/>
      <c r="G252" s="91"/>
      <c r="H252" s="91"/>
      <c r="I252" s="91"/>
      <c r="J252" s="91"/>
      <c r="K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row>
    <row r="253" spans="2:239" ht="15" x14ac:dyDescent="0.2">
      <c r="B253" s="91"/>
      <c r="C253" s="91"/>
      <c r="D253" s="91"/>
      <c r="E253" s="227"/>
      <c r="F253" s="91"/>
      <c r="G253" s="91"/>
      <c r="H253" s="91"/>
      <c r="I253" s="91"/>
      <c r="J253" s="91"/>
      <c r="K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row>
    <row r="254" spans="2:239" ht="15" x14ac:dyDescent="0.2">
      <c r="B254" s="91"/>
      <c r="C254" s="91"/>
      <c r="D254" s="91"/>
      <c r="E254" s="227"/>
      <c r="F254" s="91"/>
      <c r="G254" s="91"/>
      <c r="H254" s="91"/>
      <c r="I254" s="91"/>
      <c r="J254" s="91"/>
      <c r="K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row>
    <row r="255" spans="2:239" ht="15" x14ac:dyDescent="0.2">
      <c r="B255" s="91"/>
      <c r="C255" s="91"/>
      <c r="D255" s="91"/>
      <c r="E255" s="227"/>
      <c r="F255" s="91"/>
      <c r="G255" s="91"/>
      <c r="H255" s="91"/>
      <c r="I255" s="91"/>
      <c r="J255" s="91"/>
      <c r="K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row>
    <row r="256" spans="2:239" ht="15" x14ac:dyDescent="0.2">
      <c r="B256" s="91"/>
      <c r="C256" s="91"/>
      <c r="D256" s="91"/>
      <c r="E256" s="227"/>
      <c r="F256" s="91"/>
      <c r="G256" s="91"/>
      <c r="H256" s="91"/>
      <c r="I256" s="91"/>
      <c r="J256" s="91"/>
      <c r="K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row>
    <row r="257" spans="2:239" ht="15" x14ac:dyDescent="0.2">
      <c r="B257" s="91"/>
      <c r="C257" s="91"/>
      <c r="D257" s="91"/>
      <c r="E257" s="227"/>
      <c r="F257" s="91"/>
      <c r="G257" s="91"/>
      <c r="H257" s="91"/>
      <c r="I257" s="91"/>
      <c r="J257" s="91"/>
      <c r="K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row>
    <row r="258" spans="2:239" ht="15" x14ac:dyDescent="0.2">
      <c r="B258" s="91"/>
      <c r="C258" s="91"/>
      <c r="D258" s="91"/>
      <c r="E258" s="227"/>
      <c r="F258" s="91"/>
      <c r="G258" s="91"/>
      <c r="H258" s="91"/>
      <c r="I258" s="91"/>
      <c r="J258" s="91"/>
      <c r="K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row>
    <row r="259" spans="2:239" ht="15" x14ac:dyDescent="0.2">
      <c r="B259" s="91"/>
      <c r="C259" s="91"/>
      <c r="D259" s="91"/>
      <c r="E259" s="227"/>
      <c r="F259" s="91"/>
      <c r="G259" s="91"/>
      <c r="H259" s="91"/>
      <c r="I259" s="91"/>
      <c r="J259" s="91"/>
      <c r="K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row>
    <row r="260" spans="2:239" ht="15" x14ac:dyDescent="0.2">
      <c r="B260" s="91"/>
      <c r="C260" s="91"/>
      <c r="D260" s="91"/>
      <c r="E260" s="227"/>
      <c r="F260" s="91"/>
      <c r="G260" s="91"/>
      <c r="H260" s="91"/>
      <c r="I260" s="91"/>
      <c r="J260" s="91"/>
      <c r="K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row>
    <row r="261" spans="2:239" ht="15" x14ac:dyDescent="0.2">
      <c r="B261" s="91"/>
      <c r="C261" s="91"/>
      <c r="D261" s="91"/>
      <c r="E261" s="227"/>
      <c r="F261" s="91"/>
      <c r="G261" s="91"/>
      <c r="H261" s="91"/>
      <c r="I261" s="91"/>
      <c r="J261" s="91"/>
      <c r="K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row>
    <row r="262" spans="2:239" ht="15" x14ac:dyDescent="0.2">
      <c r="B262" s="91"/>
      <c r="C262" s="91"/>
      <c r="D262" s="91"/>
      <c r="E262" s="227"/>
      <c r="F262" s="91"/>
      <c r="G262" s="91"/>
      <c r="H262" s="91"/>
      <c r="I262" s="91"/>
      <c r="J262" s="91"/>
      <c r="K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row>
    <row r="263" spans="2:239" ht="15" x14ac:dyDescent="0.2">
      <c r="B263" s="91"/>
      <c r="C263" s="91"/>
      <c r="D263" s="91"/>
      <c r="E263" s="227"/>
      <c r="F263" s="91"/>
      <c r="G263" s="91"/>
      <c r="H263" s="91"/>
      <c r="I263" s="91"/>
      <c r="J263" s="91"/>
      <c r="K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row>
    <row r="264" spans="2:239" ht="15" x14ac:dyDescent="0.2">
      <c r="B264" s="91"/>
      <c r="C264" s="91"/>
      <c r="D264" s="91"/>
      <c r="E264" s="227"/>
      <c r="F264" s="91"/>
      <c r="G264" s="91"/>
      <c r="H264" s="91"/>
      <c r="I264" s="91"/>
      <c r="J264" s="91"/>
      <c r="K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row>
    <row r="265" spans="2:239" ht="15" x14ac:dyDescent="0.2">
      <c r="B265" s="91"/>
      <c r="C265" s="91"/>
      <c r="D265" s="91"/>
      <c r="E265" s="227"/>
      <c r="F265" s="91"/>
      <c r="G265" s="91"/>
      <c r="H265" s="91"/>
      <c r="I265" s="91"/>
      <c r="J265" s="91"/>
      <c r="K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row>
    <row r="266" spans="2:239" ht="15" x14ac:dyDescent="0.2">
      <c r="B266" s="91"/>
      <c r="C266" s="91"/>
      <c r="D266" s="91"/>
      <c r="E266" s="227"/>
      <c r="F266" s="91"/>
      <c r="G266" s="91"/>
      <c r="H266" s="91"/>
      <c r="I266" s="91"/>
      <c r="J266" s="91"/>
      <c r="K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row>
    <row r="267" spans="2:239" ht="15" x14ac:dyDescent="0.2">
      <c r="B267" s="91"/>
      <c r="C267" s="91"/>
      <c r="D267" s="91"/>
      <c r="E267" s="227"/>
      <c r="F267" s="91"/>
      <c r="G267" s="91"/>
      <c r="H267" s="91"/>
      <c r="I267" s="91"/>
      <c r="J267" s="91"/>
      <c r="K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row>
    <row r="268" spans="2:239" ht="15" x14ac:dyDescent="0.2">
      <c r="B268" s="91"/>
      <c r="C268" s="91"/>
      <c r="D268" s="91"/>
      <c r="E268" s="227"/>
      <c r="F268" s="91"/>
      <c r="G268" s="91"/>
      <c r="H268" s="91"/>
      <c r="I268" s="91"/>
      <c r="J268" s="91"/>
      <c r="K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row>
    <row r="269" spans="2:239" ht="15" x14ac:dyDescent="0.2">
      <c r="B269" s="91"/>
      <c r="C269" s="91"/>
      <c r="D269" s="91"/>
      <c r="E269" s="227"/>
      <c r="F269" s="91"/>
      <c r="G269" s="91"/>
      <c r="H269" s="91"/>
      <c r="I269" s="91"/>
      <c r="J269" s="91"/>
      <c r="K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row>
    <row r="270" spans="2:239" ht="15" x14ac:dyDescent="0.2">
      <c r="B270" s="91"/>
      <c r="C270" s="91"/>
      <c r="D270" s="91"/>
      <c r="E270" s="227"/>
      <c r="F270" s="91"/>
      <c r="G270" s="91"/>
      <c r="H270" s="91"/>
      <c r="I270" s="91"/>
      <c r="J270" s="91"/>
      <c r="K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row>
    <row r="271" spans="2:239" ht="15" x14ac:dyDescent="0.2">
      <c r="B271" s="91"/>
      <c r="C271" s="91"/>
      <c r="D271" s="91"/>
      <c r="E271" s="227"/>
      <c r="F271" s="91"/>
      <c r="G271" s="91"/>
      <c r="H271" s="91"/>
      <c r="I271" s="91"/>
      <c r="J271" s="91"/>
      <c r="K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row>
    <row r="272" spans="2:239" ht="15" x14ac:dyDescent="0.2">
      <c r="B272" s="91"/>
      <c r="C272" s="91"/>
      <c r="D272" s="91"/>
      <c r="E272" s="227"/>
      <c r="F272" s="91"/>
      <c r="G272" s="91"/>
      <c r="H272" s="91"/>
      <c r="I272" s="91"/>
      <c r="J272" s="91"/>
      <c r="K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row>
    <row r="273" spans="2:239" ht="15" x14ac:dyDescent="0.2">
      <c r="B273" s="91"/>
      <c r="C273" s="91"/>
      <c r="D273" s="91"/>
      <c r="E273" s="227"/>
      <c r="F273" s="91"/>
      <c r="G273" s="91"/>
      <c r="H273" s="91"/>
      <c r="I273" s="91"/>
      <c r="J273" s="91"/>
      <c r="K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row>
    <row r="274" spans="2:239" ht="15" x14ac:dyDescent="0.2">
      <c r="B274" s="91"/>
      <c r="C274" s="91"/>
      <c r="D274" s="91"/>
      <c r="E274" s="227"/>
      <c r="F274" s="91"/>
      <c r="G274" s="91"/>
      <c r="H274" s="91"/>
      <c r="I274" s="91"/>
      <c r="J274" s="91"/>
      <c r="K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row>
    <row r="275" spans="2:239" ht="15" x14ac:dyDescent="0.2">
      <c r="B275" s="91"/>
      <c r="C275" s="91"/>
      <c r="D275" s="91"/>
      <c r="E275" s="227"/>
      <c r="F275" s="91"/>
      <c r="G275" s="91"/>
      <c r="H275" s="91"/>
      <c r="I275" s="91"/>
      <c r="J275" s="91"/>
      <c r="K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row>
    <row r="276" spans="2:239" ht="15" x14ac:dyDescent="0.2">
      <c r="B276" s="91"/>
      <c r="C276" s="91"/>
      <c r="D276" s="91"/>
      <c r="E276" s="227"/>
      <c r="F276" s="91"/>
      <c r="G276" s="91"/>
      <c r="H276" s="91"/>
      <c r="I276" s="91"/>
      <c r="J276" s="91"/>
      <c r="K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row>
    <row r="277" spans="2:239" ht="15" x14ac:dyDescent="0.2">
      <c r="B277" s="91"/>
      <c r="C277" s="91"/>
      <c r="D277" s="91"/>
      <c r="E277" s="227"/>
      <c r="F277" s="91"/>
      <c r="G277" s="91"/>
      <c r="H277" s="91"/>
      <c r="I277" s="91"/>
      <c r="J277" s="91"/>
      <c r="K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row>
    <row r="278" spans="2:239" ht="15" x14ac:dyDescent="0.2">
      <c r="B278" s="91"/>
      <c r="C278" s="91"/>
      <c r="D278" s="91"/>
      <c r="E278" s="227"/>
      <c r="F278" s="91"/>
      <c r="G278" s="91"/>
      <c r="H278" s="91"/>
      <c r="I278" s="91"/>
      <c r="J278" s="91"/>
      <c r="K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row>
    <row r="279" spans="2:239" ht="15" x14ac:dyDescent="0.2">
      <c r="B279" s="91"/>
      <c r="C279" s="91"/>
      <c r="D279" s="91"/>
      <c r="E279" s="227"/>
      <c r="F279" s="91"/>
      <c r="G279" s="91"/>
      <c r="H279" s="91"/>
      <c r="I279" s="91"/>
      <c r="J279" s="91"/>
      <c r="K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row>
    <row r="280" spans="2:239" ht="15" x14ac:dyDescent="0.2">
      <c r="B280" s="91"/>
      <c r="C280" s="91"/>
      <c r="D280" s="91"/>
      <c r="E280" s="227"/>
      <c r="F280" s="91"/>
      <c r="G280" s="91"/>
      <c r="H280" s="91"/>
      <c r="I280" s="91"/>
      <c r="J280" s="91"/>
      <c r="K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row>
    <row r="281" spans="2:239" ht="15" x14ac:dyDescent="0.2">
      <c r="B281" s="91"/>
      <c r="C281" s="91"/>
      <c r="D281" s="91"/>
      <c r="E281" s="227"/>
      <c r="F281" s="91"/>
      <c r="G281" s="91"/>
      <c r="H281" s="91"/>
      <c r="I281" s="91"/>
      <c r="J281" s="91"/>
      <c r="K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row>
    <row r="282" spans="2:239" ht="15" x14ac:dyDescent="0.2">
      <c r="B282" s="91"/>
      <c r="C282" s="91"/>
      <c r="D282" s="91"/>
      <c r="E282" s="227"/>
      <c r="F282" s="91"/>
      <c r="G282" s="91"/>
      <c r="H282" s="91"/>
      <c r="I282" s="91"/>
      <c r="J282" s="91"/>
      <c r="K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row>
    <row r="283" spans="2:239" ht="15" x14ac:dyDescent="0.2">
      <c r="B283" s="91"/>
      <c r="C283" s="91"/>
      <c r="D283" s="91"/>
      <c r="E283" s="227"/>
      <c r="F283" s="91"/>
      <c r="G283" s="91"/>
      <c r="H283" s="91"/>
      <c r="I283" s="91"/>
      <c r="J283" s="91"/>
      <c r="K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row>
    <row r="284" spans="2:239" ht="15" x14ac:dyDescent="0.2">
      <c r="B284" s="91"/>
      <c r="C284" s="91"/>
      <c r="D284" s="91"/>
      <c r="E284" s="227"/>
      <c r="F284" s="91"/>
      <c r="G284" s="91"/>
      <c r="H284" s="91"/>
      <c r="I284" s="91"/>
      <c r="J284" s="91"/>
      <c r="K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row>
    <row r="285" spans="2:239" ht="15" x14ac:dyDescent="0.2">
      <c r="B285" s="91"/>
      <c r="C285" s="91"/>
      <c r="D285" s="91"/>
      <c r="E285" s="227"/>
      <c r="F285" s="91"/>
      <c r="G285" s="91"/>
      <c r="H285" s="91"/>
      <c r="I285" s="91"/>
      <c r="J285" s="91"/>
      <c r="K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row>
    <row r="286" spans="2:239" ht="15" x14ac:dyDescent="0.2">
      <c r="B286" s="91"/>
      <c r="C286" s="91"/>
      <c r="D286" s="91"/>
      <c r="E286" s="227"/>
      <c r="F286" s="91"/>
      <c r="G286" s="91"/>
      <c r="H286" s="91"/>
      <c r="I286" s="91"/>
      <c r="J286" s="91"/>
      <c r="K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row>
    <row r="287" spans="2:239" ht="15" x14ac:dyDescent="0.2">
      <c r="B287" s="91"/>
      <c r="C287" s="91"/>
      <c r="D287" s="91"/>
      <c r="E287" s="227"/>
      <c r="F287" s="91"/>
      <c r="G287" s="91"/>
      <c r="H287" s="91"/>
      <c r="I287" s="91"/>
      <c r="J287" s="91"/>
      <c r="K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row>
    <row r="288" spans="2:239" ht="15" x14ac:dyDescent="0.2">
      <c r="B288" s="91"/>
      <c r="C288" s="91"/>
      <c r="D288" s="91"/>
      <c r="E288" s="227"/>
      <c r="F288" s="91"/>
      <c r="G288" s="91"/>
      <c r="H288" s="91"/>
      <c r="I288" s="91"/>
      <c r="J288" s="91"/>
      <c r="K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row>
    <row r="289" spans="2:239" ht="15" x14ac:dyDescent="0.2">
      <c r="B289" s="91"/>
      <c r="C289" s="91"/>
      <c r="D289" s="91"/>
      <c r="E289" s="227"/>
      <c r="F289" s="91"/>
      <c r="G289" s="91"/>
      <c r="H289" s="91"/>
      <c r="I289" s="91"/>
      <c r="J289" s="91"/>
      <c r="K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row>
    <row r="290" spans="2:239" ht="15" x14ac:dyDescent="0.2">
      <c r="B290" s="91"/>
      <c r="C290" s="91"/>
      <c r="D290" s="91"/>
      <c r="E290" s="227"/>
      <c r="F290" s="91"/>
      <c r="G290" s="91"/>
      <c r="H290" s="91"/>
      <c r="I290" s="91"/>
      <c r="J290" s="91"/>
      <c r="K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row>
    <row r="291" spans="2:239" ht="15" x14ac:dyDescent="0.2">
      <c r="B291" s="91"/>
      <c r="C291" s="91"/>
      <c r="D291" s="91"/>
      <c r="E291" s="227"/>
      <c r="F291" s="91"/>
      <c r="G291" s="91"/>
      <c r="H291" s="91"/>
      <c r="I291" s="91"/>
      <c r="J291" s="91"/>
      <c r="K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row>
    <row r="292" spans="2:239" ht="15" x14ac:dyDescent="0.2">
      <c r="B292" s="91"/>
      <c r="C292" s="91"/>
      <c r="D292" s="91"/>
      <c r="E292" s="227"/>
      <c r="F292" s="91"/>
      <c r="G292" s="91"/>
      <c r="H292" s="91"/>
      <c r="I292" s="91"/>
      <c r="J292" s="91"/>
      <c r="K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row>
    <row r="293" spans="2:239" ht="15" x14ac:dyDescent="0.2">
      <c r="B293" s="91"/>
      <c r="C293" s="91"/>
      <c r="D293" s="91"/>
      <c r="E293" s="227"/>
      <c r="F293" s="91"/>
      <c r="G293" s="91"/>
      <c r="H293" s="91"/>
      <c r="I293" s="91"/>
      <c r="J293" s="91"/>
      <c r="K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row>
    <row r="294" spans="2:239" ht="15" x14ac:dyDescent="0.2">
      <c r="B294" s="91"/>
      <c r="C294" s="91"/>
      <c r="D294" s="91"/>
      <c r="E294" s="227"/>
      <c r="F294" s="91"/>
      <c r="G294" s="91"/>
      <c r="H294" s="91"/>
      <c r="I294" s="91"/>
      <c r="J294" s="91"/>
      <c r="K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row>
    <row r="295" spans="2:239" ht="15" x14ac:dyDescent="0.2">
      <c r="B295" s="91"/>
      <c r="C295" s="91"/>
      <c r="D295" s="91"/>
      <c r="E295" s="227"/>
      <c r="F295" s="91"/>
      <c r="G295" s="91"/>
      <c r="H295" s="91"/>
      <c r="I295" s="91"/>
      <c r="J295" s="91"/>
      <c r="K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row>
    <row r="296" spans="2:239" ht="15" x14ac:dyDescent="0.2">
      <c r="B296" s="91"/>
      <c r="C296" s="91"/>
      <c r="D296" s="91"/>
      <c r="E296" s="227"/>
      <c r="F296" s="91"/>
      <c r="G296" s="91"/>
      <c r="H296" s="91"/>
      <c r="I296" s="91"/>
      <c r="J296" s="91"/>
      <c r="K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row>
    <row r="297" spans="2:239" ht="15" x14ac:dyDescent="0.2">
      <c r="B297" s="91"/>
      <c r="C297" s="91"/>
      <c r="D297" s="91"/>
      <c r="E297" s="227"/>
      <c r="F297" s="91"/>
      <c r="G297" s="91"/>
      <c r="H297" s="91"/>
      <c r="I297" s="91"/>
      <c r="J297" s="91"/>
      <c r="K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row>
    <row r="298" spans="2:239" ht="15" x14ac:dyDescent="0.2">
      <c r="B298" s="91"/>
      <c r="C298" s="91"/>
      <c r="D298" s="91"/>
      <c r="E298" s="227"/>
      <c r="F298" s="91"/>
      <c r="G298" s="91"/>
      <c r="H298" s="91"/>
      <c r="I298" s="91"/>
      <c r="J298" s="91"/>
      <c r="K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row>
    <row r="299" spans="2:239" ht="15" x14ac:dyDescent="0.2">
      <c r="B299" s="91"/>
      <c r="C299" s="91"/>
      <c r="D299" s="91"/>
      <c r="E299" s="227"/>
      <c r="F299" s="91"/>
      <c r="G299" s="91"/>
      <c r="H299" s="91"/>
      <c r="I299" s="91"/>
      <c r="J299" s="91"/>
      <c r="K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row>
    <row r="300" spans="2:239" ht="15" x14ac:dyDescent="0.2">
      <c r="B300" s="91"/>
      <c r="C300" s="91"/>
      <c r="D300" s="91"/>
      <c r="E300" s="227"/>
      <c r="F300" s="91"/>
      <c r="G300" s="91"/>
      <c r="H300" s="91"/>
      <c r="I300" s="91"/>
      <c r="J300" s="91"/>
      <c r="K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row>
    <row r="301" spans="2:239" ht="15" x14ac:dyDescent="0.2">
      <c r="B301" s="91"/>
      <c r="C301" s="91"/>
      <c r="D301" s="91"/>
      <c r="E301" s="227"/>
      <c r="F301" s="91"/>
      <c r="G301" s="91"/>
      <c r="H301" s="91"/>
      <c r="I301" s="91"/>
      <c r="J301" s="91"/>
      <c r="K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row>
    <row r="302" spans="2:239" ht="15" x14ac:dyDescent="0.2">
      <c r="B302" s="91"/>
      <c r="C302" s="91"/>
      <c r="D302" s="91"/>
      <c r="E302" s="227"/>
      <c r="F302" s="91"/>
      <c r="G302" s="91"/>
      <c r="H302" s="91"/>
      <c r="I302" s="91"/>
      <c r="J302" s="91"/>
      <c r="K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row>
    <row r="303" spans="2:239" ht="15" x14ac:dyDescent="0.2">
      <c r="B303" s="91"/>
      <c r="C303" s="91"/>
      <c r="D303" s="91"/>
      <c r="E303" s="227"/>
      <c r="F303" s="91"/>
      <c r="G303" s="91"/>
      <c r="H303" s="91"/>
      <c r="I303" s="91"/>
      <c r="J303" s="91"/>
      <c r="K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row>
    <row r="304" spans="2:239" ht="15" x14ac:dyDescent="0.2">
      <c r="B304" s="91"/>
      <c r="C304" s="91"/>
      <c r="D304" s="91"/>
      <c r="E304" s="227"/>
      <c r="F304" s="91"/>
      <c r="G304" s="91"/>
      <c r="H304" s="91"/>
      <c r="I304" s="91"/>
      <c r="J304" s="91"/>
      <c r="K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row>
    <row r="305" spans="2:239" ht="15" x14ac:dyDescent="0.2">
      <c r="B305" s="91"/>
      <c r="C305" s="91"/>
      <c r="D305" s="91"/>
      <c r="E305" s="227"/>
      <c r="F305" s="91"/>
      <c r="G305" s="91"/>
      <c r="H305" s="91"/>
      <c r="I305" s="91"/>
      <c r="J305" s="91"/>
      <c r="K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row>
    <row r="306" spans="2:239" ht="15" x14ac:dyDescent="0.2">
      <c r="B306" s="91"/>
      <c r="C306" s="91"/>
      <c r="D306" s="91"/>
      <c r="E306" s="227"/>
      <c r="F306" s="91"/>
      <c r="G306" s="91"/>
      <c r="H306" s="91"/>
      <c r="I306" s="91"/>
      <c r="J306" s="91"/>
      <c r="K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row>
    <row r="307" spans="2:239" ht="15" x14ac:dyDescent="0.2">
      <c r="B307" s="91"/>
      <c r="C307" s="91"/>
      <c r="D307" s="91"/>
      <c r="E307" s="227"/>
      <c r="F307" s="91"/>
      <c r="G307" s="91"/>
      <c r="H307" s="91"/>
      <c r="I307" s="91"/>
      <c r="J307" s="91"/>
      <c r="K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row>
    <row r="308" spans="2:239" ht="15" x14ac:dyDescent="0.2">
      <c r="B308" s="91"/>
      <c r="C308" s="91"/>
      <c r="D308" s="91"/>
      <c r="E308" s="227"/>
      <c r="F308" s="91"/>
      <c r="G308" s="91"/>
      <c r="H308" s="91"/>
      <c r="I308" s="91"/>
      <c r="J308" s="91"/>
      <c r="K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row>
    <row r="309" spans="2:239" ht="15" x14ac:dyDescent="0.2">
      <c r="B309" s="91"/>
      <c r="C309" s="91"/>
      <c r="D309" s="91"/>
      <c r="E309" s="227"/>
      <c r="F309" s="91"/>
      <c r="G309" s="91"/>
      <c r="H309" s="91"/>
      <c r="I309" s="91"/>
      <c r="J309" s="91"/>
      <c r="K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row>
    <row r="310" spans="2:239" ht="15" x14ac:dyDescent="0.2">
      <c r="B310" s="91"/>
      <c r="C310" s="91"/>
      <c r="D310" s="91"/>
      <c r="E310" s="227"/>
      <c r="F310" s="91"/>
      <c r="G310" s="91"/>
      <c r="H310" s="91"/>
      <c r="I310" s="91"/>
      <c r="J310" s="91"/>
      <c r="K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row>
    <row r="311" spans="2:239" ht="15" x14ac:dyDescent="0.2">
      <c r="B311" s="91"/>
      <c r="C311" s="91"/>
      <c r="D311" s="91"/>
      <c r="E311" s="227"/>
      <c r="F311" s="91"/>
      <c r="G311" s="91"/>
      <c r="H311" s="91"/>
      <c r="I311" s="91"/>
      <c r="J311" s="91"/>
      <c r="K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row>
    <row r="312" spans="2:239" ht="15" x14ac:dyDescent="0.2">
      <c r="B312" s="91"/>
      <c r="C312" s="91"/>
      <c r="D312" s="91"/>
      <c r="E312" s="227"/>
      <c r="F312" s="91"/>
      <c r="G312" s="91"/>
      <c r="H312" s="91"/>
      <c r="I312" s="91"/>
      <c r="J312" s="91"/>
      <c r="K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row>
    <row r="313" spans="2:239" ht="15" x14ac:dyDescent="0.2">
      <c r="B313" s="91"/>
      <c r="C313" s="91"/>
      <c r="D313" s="91"/>
      <c r="E313" s="227"/>
      <c r="F313" s="91"/>
      <c r="G313" s="91"/>
      <c r="H313" s="91"/>
      <c r="I313" s="91"/>
      <c r="J313" s="91"/>
      <c r="K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row>
    <row r="314" spans="2:239" ht="15" x14ac:dyDescent="0.2">
      <c r="B314" s="91"/>
      <c r="C314" s="91"/>
      <c r="D314" s="91"/>
      <c r="E314" s="227"/>
      <c r="F314" s="91"/>
      <c r="G314" s="91"/>
      <c r="H314" s="91"/>
      <c r="I314" s="91"/>
      <c r="J314" s="91"/>
      <c r="K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row>
    <row r="315" spans="2:239" ht="15" x14ac:dyDescent="0.2">
      <c r="B315" s="91"/>
      <c r="C315" s="91"/>
      <c r="D315" s="91"/>
      <c r="E315" s="227"/>
      <c r="F315" s="91"/>
      <c r="G315" s="91"/>
      <c r="H315" s="91"/>
      <c r="I315" s="91"/>
      <c r="J315" s="91"/>
      <c r="K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row>
    <row r="316" spans="2:239" ht="15" x14ac:dyDescent="0.2">
      <c r="B316" s="91"/>
      <c r="C316" s="91"/>
      <c r="D316" s="91"/>
      <c r="E316" s="227"/>
      <c r="F316" s="91"/>
      <c r="G316" s="91"/>
      <c r="H316" s="91"/>
      <c r="I316" s="91"/>
      <c r="J316" s="91"/>
      <c r="K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row>
    <row r="317" spans="2:239" ht="15" x14ac:dyDescent="0.2">
      <c r="B317" s="91"/>
      <c r="C317" s="91"/>
      <c r="D317" s="91"/>
      <c r="E317" s="227"/>
      <c r="F317" s="91"/>
      <c r="G317" s="91"/>
      <c r="H317" s="91"/>
      <c r="I317" s="91"/>
      <c r="J317" s="91"/>
      <c r="K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row>
    <row r="318" spans="2:239" ht="15" x14ac:dyDescent="0.2">
      <c r="B318" s="91"/>
      <c r="C318" s="91"/>
      <c r="D318" s="91"/>
      <c r="E318" s="227"/>
      <c r="F318" s="91"/>
      <c r="G318" s="91"/>
      <c r="H318" s="91"/>
      <c r="I318" s="91"/>
      <c r="J318" s="91"/>
      <c r="K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row>
    <row r="319" spans="2:239" ht="15" x14ac:dyDescent="0.2">
      <c r="B319" s="91"/>
      <c r="C319" s="91"/>
      <c r="D319" s="91"/>
      <c r="E319" s="227"/>
      <c r="F319" s="91"/>
      <c r="G319" s="91"/>
      <c r="H319" s="91"/>
      <c r="I319" s="91"/>
      <c r="J319" s="91"/>
      <c r="K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c r="GU319" s="91"/>
      <c r="GV319" s="91"/>
      <c r="GW319" s="91"/>
      <c r="GX319" s="91"/>
      <c r="GY319" s="91"/>
      <c r="GZ319" s="91"/>
      <c r="HA319" s="91"/>
      <c r="HB319" s="91"/>
      <c r="HC319" s="91"/>
      <c r="HD319" s="91"/>
      <c r="HE319" s="91"/>
      <c r="HF319" s="91"/>
      <c r="HG319" s="91"/>
      <c r="HH319" s="91"/>
      <c r="HI319" s="91"/>
      <c r="HJ319" s="91"/>
      <c r="HK319" s="91"/>
      <c r="HL319" s="91"/>
      <c r="HM319" s="91"/>
      <c r="HN319" s="91"/>
      <c r="HO319" s="91"/>
      <c r="HP319" s="91"/>
      <c r="HQ319" s="91"/>
      <c r="HR319" s="91"/>
      <c r="HS319" s="91"/>
      <c r="HT319" s="91"/>
      <c r="HU319" s="91"/>
      <c r="HV319" s="91"/>
      <c r="HW319" s="91"/>
      <c r="HX319" s="91"/>
      <c r="HY319" s="91"/>
      <c r="HZ319" s="91"/>
      <c r="IA319" s="91"/>
      <c r="IB319" s="91"/>
      <c r="IC319" s="91"/>
      <c r="ID319" s="91"/>
      <c r="IE319" s="91"/>
    </row>
    <row r="320" spans="2:239" ht="15" x14ac:dyDescent="0.2">
      <c r="B320" s="91"/>
      <c r="C320" s="91"/>
      <c r="D320" s="91"/>
      <c r="E320" s="227"/>
      <c r="F320" s="91"/>
      <c r="G320" s="91"/>
      <c r="H320" s="91"/>
      <c r="I320" s="91"/>
      <c r="J320" s="91"/>
      <c r="K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c r="HV320" s="91"/>
      <c r="HW320" s="91"/>
      <c r="HX320" s="91"/>
      <c r="HY320" s="91"/>
      <c r="HZ320" s="91"/>
      <c r="IA320" s="91"/>
      <c r="IB320" s="91"/>
      <c r="IC320" s="91"/>
      <c r="ID320" s="91"/>
      <c r="IE320" s="91"/>
    </row>
    <row r="321" spans="2:239" ht="15" x14ac:dyDescent="0.2">
      <c r="B321" s="91"/>
      <c r="C321" s="91"/>
      <c r="D321" s="91"/>
      <c r="E321" s="227"/>
      <c r="F321" s="91"/>
      <c r="G321" s="91"/>
      <c r="H321" s="91"/>
      <c r="I321" s="91"/>
      <c r="J321" s="91"/>
      <c r="K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c r="HV321" s="91"/>
      <c r="HW321" s="91"/>
      <c r="HX321" s="91"/>
      <c r="HY321" s="91"/>
      <c r="HZ321" s="91"/>
      <c r="IA321" s="91"/>
      <c r="IB321" s="91"/>
      <c r="IC321" s="91"/>
      <c r="ID321" s="91"/>
      <c r="IE321" s="91"/>
    </row>
    <row r="322" spans="2:239" ht="15" x14ac:dyDescent="0.2">
      <c r="B322" s="91"/>
      <c r="C322" s="91"/>
      <c r="D322" s="91"/>
      <c r="E322" s="227"/>
      <c r="F322" s="91"/>
      <c r="G322" s="91"/>
      <c r="H322" s="91"/>
      <c r="I322" s="91"/>
      <c r="J322" s="91"/>
      <c r="K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row>
    <row r="323" spans="2:239" ht="15" x14ac:dyDescent="0.2">
      <c r="B323" s="91"/>
      <c r="C323" s="91"/>
      <c r="D323" s="91"/>
      <c r="E323" s="227"/>
      <c r="F323" s="91"/>
      <c r="G323" s="91"/>
      <c r="H323" s="91"/>
      <c r="I323" s="91"/>
      <c r="J323" s="91"/>
      <c r="K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c r="HV323" s="91"/>
      <c r="HW323" s="91"/>
      <c r="HX323" s="91"/>
      <c r="HY323" s="91"/>
      <c r="HZ323" s="91"/>
      <c r="IA323" s="91"/>
      <c r="IB323" s="91"/>
      <c r="IC323" s="91"/>
      <c r="ID323" s="91"/>
      <c r="IE323" s="91"/>
    </row>
    <row r="324" spans="2:239" ht="15" x14ac:dyDescent="0.2">
      <c r="B324" s="91"/>
      <c r="C324" s="91"/>
      <c r="D324" s="91"/>
      <c r="E324" s="227"/>
      <c r="F324" s="91"/>
      <c r="G324" s="91"/>
      <c r="H324" s="91"/>
      <c r="I324" s="91"/>
      <c r="J324" s="91"/>
      <c r="K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row>
    <row r="325" spans="2:239" ht="15" x14ac:dyDescent="0.2">
      <c r="B325" s="91"/>
      <c r="C325" s="91"/>
      <c r="D325" s="91"/>
      <c r="E325" s="227"/>
      <c r="F325" s="91"/>
      <c r="G325" s="91"/>
      <c r="H325" s="91"/>
      <c r="I325" s="91"/>
      <c r="J325" s="91"/>
      <c r="K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c r="HV325" s="91"/>
      <c r="HW325" s="91"/>
      <c r="HX325" s="91"/>
      <c r="HY325" s="91"/>
      <c r="HZ325" s="91"/>
      <c r="IA325" s="91"/>
      <c r="IB325" s="91"/>
      <c r="IC325" s="91"/>
      <c r="ID325" s="91"/>
      <c r="IE325" s="91"/>
    </row>
    <row r="326" spans="2:239" ht="15" x14ac:dyDescent="0.2">
      <c r="B326" s="91"/>
      <c r="C326" s="91"/>
      <c r="D326" s="91"/>
      <c r="E326" s="227"/>
      <c r="F326" s="91"/>
      <c r="G326" s="91"/>
      <c r="H326" s="91"/>
      <c r="I326" s="91"/>
      <c r="J326" s="91"/>
      <c r="K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row>
    <row r="327" spans="2:239" ht="15" x14ac:dyDescent="0.2">
      <c r="B327" s="91"/>
      <c r="C327" s="91"/>
      <c r="D327" s="91"/>
      <c r="E327" s="227"/>
      <c r="F327" s="91"/>
      <c r="G327" s="91"/>
      <c r="H327" s="91"/>
      <c r="I327" s="91"/>
      <c r="J327" s="91"/>
      <c r="K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row>
    <row r="328" spans="2:239" ht="15" x14ac:dyDescent="0.2">
      <c r="B328" s="91"/>
      <c r="C328" s="91"/>
      <c r="D328" s="91"/>
      <c r="E328" s="227"/>
      <c r="F328" s="91"/>
      <c r="G328" s="91"/>
      <c r="H328" s="91"/>
      <c r="I328" s="91"/>
      <c r="J328" s="91"/>
      <c r="K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row>
    <row r="329" spans="2:239" ht="15" x14ac:dyDescent="0.2">
      <c r="B329" s="91"/>
      <c r="C329" s="91"/>
      <c r="D329" s="91"/>
      <c r="E329" s="227"/>
      <c r="F329" s="91"/>
      <c r="G329" s="91"/>
      <c r="H329" s="91"/>
      <c r="I329" s="91"/>
      <c r="J329" s="91"/>
      <c r="K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row>
    <row r="330" spans="2:239" ht="15" x14ac:dyDescent="0.2">
      <c r="B330" s="91"/>
      <c r="C330" s="91"/>
      <c r="D330" s="91"/>
      <c r="E330" s="227"/>
      <c r="F330" s="91"/>
      <c r="G330" s="91"/>
      <c r="H330" s="91"/>
      <c r="I330" s="91"/>
      <c r="J330" s="91"/>
      <c r="K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row>
    <row r="331" spans="2:239" ht="15" x14ac:dyDescent="0.2">
      <c r="B331" s="91"/>
      <c r="C331" s="91"/>
      <c r="D331" s="91"/>
      <c r="E331" s="227"/>
      <c r="F331" s="91"/>
      <c r="G331" s="91"/>
      <c r="H331" s="91"/>
      <c r="I331" s="91"/>
      <c r="J331" s="91"/>
      <c r="K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c r="HV331" s="91"/>
      <c r="HW331" s="91"/>
      <c r="HX331" s="91"/>
      <c r="HY331" s="91"/>
      <c r="HZ331" s="91"/>
      <c r="IA331" s="91"/>
      <c r="IB331" s="91"/>
      <c r="IC331" s="91"/>
      <c r="ID331" s="91"/>
      <c r="IE331" s="91"/>
    </row>
    <row r="332" spans="2:239" ht="15" x14ac:dyDescent="0.2">
      <c r="B332" s="91"/>
      <c r="C332" s="91"/>
      <c r="D332" s="91"/>
      <c r="E332" s="227"/>
      <c r="F332" s="91"/>
      <c r="G332" s="91"/>
      <c r="H332" s="91"/>
      <c r="I332" s="91"/>
      <c r="J332" s="91"/>
      <c r="K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row>
    <row r="333" spans="2:239" ht="15" x14ac:dyDescent="0.2">
      <c r="B333" s="91"/>
      <c r="C333" s="91"/>
      <c r="D333" s="91"/>
      <c r="E333" s="227"/>
      <c r="F333" s="91"/>
      <c r="G333" s="91"/>
      <c r="H333" s="91"/>
      <c r="I333" s="91"/>
      <c r="J333" s="91"/>
      <c r="K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I333" s="91"/>
      <c r="HJ333" s="91"/>
      <c r="HK333" s="91"/>
      <c r="HL333" s="91"/>
      <c r="HM333" s="91"/>
      <c r="HN333" s="91"/>
      <c r="HO333" s="91"/>
      <c r="HP333" s="91"/>
      <c r="HQ333" s="91"/>
      <c r="HR333" s="91"/>
      <c r="HS333" s="91"/>
      <c r="HT333" s="91"/>
      <c r="HU333" s="91"/>
      <c r="HV333" s="91"/>
      <c r="HW333" s="91"/>
      <c r="HX333" s="91"/>
      <c r="HY333" s="91"/>
      <c r="HZ333" s="91"/>
      <c r="IA333" s="91"/>
      <c r="IB333" s="91"/>
      <c r="IC333" s="91"/>
      <c r="ID333" s="91"/>
      <c r="IE333" s="91"/>
    </row>
    <row r="334" spans="2:239" ht="15" x14ac:dyDescent="0.2">
      <c r="B334" s="91"/>
      <c r="C334" s="91"/>
      <c r="D334" s="91"/>
      <c r="E334" s="227"/>
      <c r="F334" s="91"/>
      <c r="G334" s="91"/>
      <c r="H334" s="91"/>
      <c r="I334" s="91"/>
      <c r="J334" s="91"/>
      <c r="K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row>
    <row r="335" spans="2:239" ht="15" x14ac:dyDescent="0.2">
      <c r="B335" s="91"/>
      <c r="C335" s="91"/>
      <c r="D335" s="91"/>
      <c r="E335" s="227"/>
      <c r="F335" s="91"/>
      <c r="G335" s="91"/>
      <c r="H335" s="91"/>
      <c r="I335" s="91"/>
      <c r="J335" s="91"/>
      <c r="K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row>
    <row r="336" spans="2:239" ht="15" x14ac:dyDescent="0.2">
      <c r="B336" s="91"/>
      <c r="C336" s="91"/>
      <c r="D336" s="91"/>
      <c r="E336" s="227"/>
      <c r="F336" s="91"/>
      <c r="G336" s="91"/>
      <c r="H336" s="91"/>
      <c r="I336" s="91"/>
      <c r="J336" s="91"/>
      <c r="K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row>
    <row r="337" spans="2:239" ht="15" x14ac:dyDescent="0.2">
      <c r="B337" s="91"/>
      <c r="C337" s="91"/>
      <c r="D337" s="91"/>
      <c r="E337" s="227"/>
      <c r="F337" s="91"/>
      <c r="G337" s="91"/>
      <c r="H337" s="91"/>
      <c r="I337" s="91"/>
      <c r="J337" s="91"/>
      <c r="K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row>
    <row r="338" spans="2:239" ht="15" x14ac:dyDescent="0.2">
      <c r="B338" s="91"/>
      <c r="C338" s="91"/>
      <c r="D338" s="91"/>
      <c r="E338" s="227"/>
      <c r="F338" s="91"/>
      <c r="G338" s="91"/>
      <c r="H338" s="91"/>
      <c r="I338" s="91"/>
      <c r="J338" s="91"/>
      <c r="K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row>
    <row r="339" spans="2:239" ht="15" x14ac:dyDescent="0.2">
      <c r="B339" s="91"/>
      <c r="C339" s="91"/>
      <c r="D339" s="91"/>
      <c r="E339" s="227"/>
      <c r="F339" s="91"/>
      <c r="G339" s="91"/>
      <c r="H339" s="91"/>
      <c r="I339" s="91"/>
      <c r="J339" s="91"/>
      <c r="K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c r="HV339" s="91"/>
      <c r="HW339" s="91"/>
      <c r="HX339" s="91"/>
      <c r="HY339" s="91"/>
      <c r="HZ339" s="91"/>
      <c r="IA339" s="91"/>
      <c r="IB339" s="91"/>
      <c r="IC339" s="91"/>
      <c r="ID339" s="91"/>
      <c r="IE339" s="91"/>
    </row>
    <row r="340" spans="2:239" ht="15" x14ac:dyDescent="0.2">
      <c r="B340" s="91"/>
      <c r="C340" s="91"/>
      <c r="D340" s="91"/>
      <c r="E340" s="227"/>
      <c r="F340" s="91"/>
      <c r="G340" s="91"/>
      <c r="H340" s="91"/>
      <c r="I340" s="91"/>
      <c r="J340" s="91"/>
      <c r="K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c r="HV340" s="91"/>
      <c r="HW340" s="91"/>
      <c r="HX340" s="91"/>
      <c r="HY340" s="91"/>
      <c r="HZ340" s="91"/>
      <c r="IA340" s="91"/>
      <c r="IB340" s="91"/>
      <c r="IC340" s="91"/>
      <c r="ID340" s="91"/>
      <c r="IE340" s="91"/>
    </row>
    <row r="341" spans="2:239" ht="15" x14ac:dyDescent="0.2">
      <c r="B341" s="91"/>
      <c r="C341" s="91"/>
      <c r="D341" s="91"/>
      <c r="E341" s="227"/>
      <c r="F341" s="91"/>
      <c r="G341" s="91"/>
      <c r="H341" s="91"/>
      <c r="I341" s="91"/>
      <c r="J341" s="91"/>
      <c r="K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c r="HV341" s="91"/>
      <c r="HW341" s="91"/>
      <c r="HX341" s="91"/>
      <c r="HY341" s="91"/>
      <c r="HZ341" s="91"/>
      <c r="IA341" s="91"/>
      <c r="IB341" s="91"/>
      <c r="IC341" s="91"/>
      <c r="ID341" s="91"/>
      <c r="IE341" s="91"/>
    </row>
    <row r="342" spans="2:239" ht="15" x14ac:dyDescent="0.2">
      <c r="B342" s="91"/>
      <c r="C342" s="91"/>
      <c r="D342" s="91"/>
      <c r="E342" s="227"/>
      <c r="F342" s="91"/>
      <c r="G342" s="91"/>
      <c r="H342" s="91"/>
      <c r="I342" s="91"/>
      <c r="J342" s="91"/>
      <c r="K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c r="HV342" s="91"/>
      <c r="HW342" s="91"/>
      <c r="HX342" s="91"/>
      <c r="HY342" s="91"/>
      <c r="HZ342" s="91"/>
      <c r="IA342" s="91"/>
      <c r="IB342" s="91"/>
      <c r="IC342" s="91"/>
      <c r="ID342" s="91"/>
      <c r="IE342" s="91"/>
    </row>
    <row r="343" spans="2:239" ht="15" x14ac:dyDescent="0.2">
      <c r="B343" s="91"/>
      <c r="C343" s="91"/>
      <c r="D343" s="91"/>
      <c r="E343" s="227"/>
      <c r="F343" s="91"/>
      <c r="G343" s="91"/>
      <c r="H343" s="91"/>
      <c r="I343" s="91"/>
      <c r="J343" s="91"/>
      <c r="K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c r="GU343" s="91"/>
      <c r="GV343" s="91"/>
      <c r="GW343" s="91"/>
      <c r="GX343" s="91"/>
      <c r="GY343" s="91"/>
      <c r="GZ343" s="91"/>
      <c r="HA343" s="91"/>
      <c r="HB343" s="91"/>
      <c r="HC343" s="91"/>
      <c r="HD343" s="91"/>
      <c r="HE343" s="91"/>
      <c r="HF343" s="91"/>
      <c r="HG343" s="91"/>
      <c r="HH343" s="91"/>
      <c r="HI343" s="91"/>
      <c r="HJ343" s="91"/>
      <c r="HK343" s="91"/>
      <c r="HL343" s="91"/>
      <c r="HM343" s="91"/>
      <c r="HN343" s="91"/>
      <c r="HO343" s="91"/>
      <c r="HP343" s="91"/>
      <c r="HQ343" s="91"/>
      <c r="HR343" s="91"/>
      <c r="HS343" s="91"/>
      <c r="HT343" s="91"/>
      <c r="HU343" s="91"/>
      <c r="HV343" s="91"/>
      <c r="HW343" s="91"/>
      <c r="HX343" s="91"/>
      <c r="HY343" s="91"/>
      <c r="HZ343" s="91"/>
      <c r="IA343" s="91"/>
      <c r="IB343" s="91"/>
      <c r="IC343" s="91"/>
      <c r="ID343" s="91"/>
      <c r="IE343" s="91"/>
    </row>
    <row r="344" spans="2:239" ht="15" x14ac:dyDescent="0.2">
      <c r="B344" s="91"/>
      <c r="C344" s="91"/>
      <c r="D344" s="91"/>
      <c r="E344" s="227"/>
      <c r="F344" s="91"/>
      <c r="G344" s="91"/>
      <c r="H344" s="91"/>
      <c r="I344" s="91"/>
      <c r="J344" s="91"/>
      <c r="K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c r="HV344" s="91"/>
      <c r="HW344" s="91"/>
      <c r="HX344" s="91"/>
      <c r="HY344" s="91"/>
      <c r="HZ344" s="91"/>
      <c r="IA344" s="91"/>
      <c r="IB344" s="91"/>
      <c r="IC344" s="91"/>
      <c r="ID344" s="91"/>
      <c r="IE344" s="91"/>
    </row>
    <row r="345" spans="2:239" ht="15" x14ac:dyDescent="0.2">
      <c r="B345" s="91"/>
      <c r="C345" s="91"/>
      <c r="D345" s="91"/>
      <c r="E345" s="227"/>
      <c r="F345" s="91"/>
      <c r="G345" s="91"/>
      <c r="H345" s="91"/>
      <c r="I345" s="91"/>
      <c r="J345" s="91"/>
      <c r="K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c r="GU345" s="91"/>
      <c r="GV345" s="91"/>
      <c r="GW345" s="91"/>
      <c r="GX345" s="91"/>
      <c r="GY345" s="91"/>
      <c r="GZ345" s="91"/>
      <c r="HA345" s="91"/>
      <c r="HB345" s="91"/>
      <c r="HC345" s="91"/>
      <c r="HD345" s="91"/>
      <c r="HE345" s="91"/>
      <c r="HF345" s="91"/>
      <c r="HG345" s="91"/>
      <c r="HH345" s="91"/>
      <c r="HI345" s="91"/>
      <c r="HJ345" s="91"/>
      <c r="HK345" s="91"/>
      <c r="HL345" s="91"/>
      <c r="HM345" s="91"/>
      <c r="HN345" s="91"/>
      <c r="HO345" s="91"/>
      <c r="HP345" s="91"/>
      <c r="HQ345" s="91"/>
      <c r="HR345" s="91"/>
      <c r="HS345" s="91"/>
      <c r="HT345" s="91"/>
      <c r="HU345" s="91"/>
      <c r="HV345" s="91"/>
      <c r="HW345" s="91"/>
      <c r="HX345" s="91"/>
      <c r="HY345" s="91"/>
      <c r="HZ345" s="91"/>
      <c r="IA345" s="91"/>
      <c r="IB345" s="91"/>
      <c r="IC345" s="91"/>
      <c r="ID345" s="91"/>
      <c r="IE345" s="91"/>
    </row>
    <row r="346" spans="2:239" ht="15" x14ac:dyDescent="0.2">
      <c r="B346" s="91"/>
      <c r="C346" s="91"/>
      <c r="D346" s="91"/>
      <c r="E346" s="227"/>
      <c r="F346" s="91"/>
      <c r="G346" s="91"/>
      <c r="H346" s="91"/>
      <c r="I346" s="91"/>
      <c r="J346" s="91"/>
      <c r="K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c r="HV346" s="91"/>
      <c r="HW346" s="91"/>
      <c r="HX346" s="91"/>
      <c r="HY346" s="91"/>
      <c r="HZ346" s="91"/>
      <c r="IA346" s="91"/>
      <c r="IB346" s="91"/>
      <c r="IC346" s="91"/>
      <c r="ID346" s="91"/>
      <c r="IE346" s="91"/>
    </row>
    <row r="347" spans="2:239" ht="15" x14ac:dyDescent="0.2">
      <c r="B347" s="91"/>
      <c r="C347" s="91"/>
      <c r="D347" s="91"/>
      <c r="E347" s="227"/>
      <c r="F347" s="91"/>
      <c r="G347" s="91"/>
      <c r="H347" s="91"/>
      <c r="I347" s="91"/>
      <c r="J347" s="91"/>
      <c r="K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c r="GU347" s="91"/>
      <c r="GV347" s="91"/>
      <c r="GW347" s="91"/>
      <c r="GX347" s="91"/>
      <c r="GY347" s="91"/>
      <c r="GZ347" s="91"/>
      <c r="HA347" s="91"/>
      <c r="HB347" s="91"/>
      <c r="HC347" s="91"/>
      <c r="HD347" s="91"/>
      <c r="HE347" s="91"/>
      <c r="HF347" s="91"/>
      <c r="HG347" s="91"/>
      <c r="HH347" s="91"/>
      <c r="HI347" s="91"/>
      <c r="HJ347" s="91"/>
      <c r="HK347" s="91"/>
      <c r="HL347" s="91"/>
      <c r="HM347" s="91"/>
      <c r="HN347" s="91"/>
      <c r="HO347" s="91"/>
      <c r="HP347" s="91"/>
      <c r="HQ347" s="91"/>
      <c r="HR347" s="91"/>
      <c r="HS347" s="91"/>
      <c r="HT347" s="91"/>
      <c r="HU347" s="91"/>
      <c r="HV347" s="91"/>
      <c r="HW347" s="91"/>
      <c r="HX347" s="91"/>
      <c r="HY347" s="91"/>
      <c r="HZ347" s="91"/>
      <c r="IA347" s="91"/>
      <c r="IB347" s="91"/>
      <c r="IC347" s="91"/>
      <c r="ID347" s="91"/>
      <c r="IE347" s="91"/>
    </row>
    <row r="348" spans="2:239" ht="15" x14ac:dyDescent="0.2">
      <c r="B348" s="91"/>
      <c r="C348" s="91"/>
      <c r="D348" s="91"/>
      <c r="E348" s="227"/>
      <c r="F348" s="91"/>
      <c r="G348" s="91"/>
      <c r="H348" s="91"/>
      <c r="I348" s="91"/>
      <c r="J348" s="91"/>
      <c r="K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c r="HV348" s="91"/>
      <c r="HW348" s="91"/>
      <c r="HX348" s="91"/>
      <c r="HY348" s="91"/>
      <c r="HZ348" s="91"/>
      <c r="IA348" s="91"/>
      <c r="IB348" s="91"/>
      <c r="IC348" s="91"/>
      <c r="ID348" s="91"/>
      <c r="IE348" s="91"/>
    </row>
    <row r="349" spans="2:239" ht="15" x14ac:dyDescent="0.2">
      <c r="B349" s="91"/>
      <c r="C349" s="91"/>
      <c r="D349" s="91"/>
      <c r="E349" s="227"/>
      <c r="F349" s="91"/>
      <c r="G349" s="91"/>
      <c r="H349" s="91"/>
      <c r="I349" s="91"/>
      <c r="J349" s="91"/>
      <c r="K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c r="HV349" s="91"/>
      <c r="HW349" s="91"/>
      <c r="HX349" s="91"/>
      <c r="HY349" s="91"/>
      <c r="HZ349" s="91"/>
      <c r="IA349" s="91"/>
      <c r="IB349" s="91"/>
      <c r="IC349" s="91"/>
      <c r="ID349" s="91"/>
      <c r="IE349" s="91"/>
    </row>
    <row r="350" spans="2:239" ht="15" x14ac:dyDescent="0.2">
      <c r="B350" s="91"/>
      <c r="C350" s="91"/>
      <c r="D350" s="91"/>
      <c r="E350" s="227"/>
      <c r="F350" s="91"/>
      <c r="G350" s="91"/>
      <c r="H350" s="91"/>
      <c r="I350" s="91"/>
      <c r="J350" s="91"/>
      <c r="K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c r="HV350" s="91"/>
      <c r="HW350" s="91"/>
      <c r="HX350" s="91"/>
      <c r="HY350" s="91"/>
      <c r="HZ350" s="91"/>
      <c r="IA350" s="91"/>
      <c r="IB350" s="91"/>
      <c r="IC350" s="91"/>
      <c r="ID350" s="91"/>
      <c r="IE350" s="91"/>
    </row>
    <row r="351" spans="2:239" ht="15" x14ac:dyDescent="0.2">
      <c r="B351" s="91"/>
      <c r="C351" s="91"/>
      <c r="D351" s="91"/>
      <c r="E351" s="227"/>
      <c r="F351" s="91"/>
      <c r="G351" s="91"/>
      <c r="H351" s="91"/>
      <c r="I351" s="91"/>
      <c r="J351" s="91"/>
      <c r="K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c r="GU351" s="91"/>
      <c r="GV351" s="91"/>
      <c r="GW351" s="91"/>
      <c r="GX351" s="91"/>
      <c r="GY351" s="91"/>
      <c r="GZ351" s="91"/>
      <c r="HA351" s="91"/>
      <c r="HB351" s="91"/>
      <c r="HC351" s="91"/>
      <c r="HD351" s="91"/>
      <c r="HE351" s="91"/>
      <c r="HF351" s="91"/>
      <c r="HG351" s="91"/>
      <c r="HH351" s="91"/>
      <c r="HI351" s="91"/>
      <c r="HJ351" s="91"/>
      <c r="HK351" s="91"/>
      <c r="HL351" s="91"/>
      <c r="HM351" s="91"/>
      <c r="HN351" s="91"/>
      <c r="HO351" s="91"/>
      <c r="HP351" s="91"/>
      <c r="HQ351" s="91"/>
      <c r="HR351" s="91"/>
      <c r="HS351" s="91"/>
      <c r="HT351" s="91"/>
      <c r="HU351" s="91"/>
      <c r="HV351" s="91"/>
      <c r="HW351" s="91"/>
      <c r="HX351" s="91"/>
      <c r="HY351" s="91"/>
      <c r="HZ351" s="91"/>
      <c r="IA351" s="91"/>
      <c r="IB351" s="91"/>
      <c r="IC351" s="91"/>
      <c r="ID351" s="91"/>
      <c r="IE351" s="91"/>
    </row>
    <row r="352" spans="2:239" ht="15" x14ac:dyDescent="0.2">
      <c r="B352" s="91"/>
      <c r="C352" s="91"/>
      <c r="D352" s="91"/>
      <c r="E352" s="227"/>
      <c r="F352" s="91"/>
      <c r="G352" s="91"/>
      <c r="H352" s="91"/>
      <c r="I352" s="91"/>
      <c r="J352" s="91"/>
      <c r="K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c r="HV352" s="91"/>
      <c r="HW352" s="91"/>
      <c r="HX352" s="91"/>
      <c r="HY352" s="91"/>
      <c r="HZ352" s="91"/>
      <c r="IA352" s="91"/>
      <c r="IB352" s="91"/>
      <c r="IC352" s="91"/>
      <c r="ID352" s="91"/>
      <c r="IE352" s="91"/>
    </row>
    <row r="353" spans="2:239" ht="15" x14ac:dyDescent="0.2">
      <c r="B353" s="91"/>
      <c r="C353" s="91"/>
      <c r="D353" s="91"/>
      <c r="E353" s="227"/>
      <c r="F353" s="91"/>
      <c r="G353" s="91"/>
      <c r="H353" s="91"/>
      <c r="I353" s="91"/>
      <c r="J353" s="91"/>
      <c r="K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c r="GU353" s="91"/>
      <c r="GV353" s="91"/>
      <c r="GW353" s="91"/>
      <c r="GX353" s="91"/>
      <c r="GY353" s="91"/>
      <c r="GZ353" s="91"/>
      <c r="HA353" s="91"/>
      <c r="HB353" s="91"/>
      <c r="HC353" s="91"/>
      <c r="HD353" s="91"/>
      <c r="HE353" s="91"/>
      <c r="HF353" s="91"/>
      <c r="HG353" s="91"/>
      <c r="HH353" s="91"/>
      <c r="HI353" s="91"/>
      <c r="HJ353" s="91"/>
      <c r="HK353" s="91"/>
      <c r="HL353" s="91"/>
      <c r="HM353" s="91"/>
      <c r="HN353" s="91"/>
      <c r="HO353" s="91"/>
      <c r="HP353" s="91"/>
      <c r="HQ353" s="91"/>
      <c r="HR353" s="91"/>
      <c r="HS353" s="91"/>
      <c r="HT353" s="91"/>
      <c r="HU353" s="91"/>
      <c r="HV353" s="91"/>
      <c r="HW353" s="91"/>
      <c r="HX353" s="91"/>
      <c r="HY353" s="91"/>
      <c r="HZ353" s="91"/>
      <c r="IA353" s="91"/>
      <c r="IB353" s="91"/>
      <c r="IC353" s="91"/>
      <c r="ID353" s="91"/>
      <c r="IE353" s="91"/>
    </row>
    <row r="354" spans="2:239" ht="15" x14ac:dyDescent="0.2">
      <c r="B354" s="91"/>
      <c r="C354" s="91"/>
      <c r="D354" s="91"/>
      <c r="E354" s="227"/>
      <c r="F354" s="91"/>
      <c r="G354" s="91"/>
      <c r="H354" s="91"/>
      <c r="I354" s="91"/>
      <c r="J354" s="91"/>
      <c r="K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c r="HV354" s="91"/>
      <c r="HW354" s="91"/>
      <c r="HX354" s="91"/>
      <c r="HY354" s="91"/>
      <c r="HZ354" s="91"/>
      <c r="IA354" s="91"/>
      <c r="IB354" s="91"/>
      <c r="IC354" s="91"/>
      <c r="ID354" s="91"/>
      <c r="IE354" s="91"/>
    </row>
    <row r="355" spans="2:239" ht="15" x14ac:dyDescent="0.2">
      <c r="B355" s="91"/>
      <c r="C355" s="91"/>
      <c r="D355" s="91"/>
      <c r="E355" s="227"/>
      <c r="F355" s="91"/>
      <c r="G355" s="91"/>
      <c r="H355" s="91"/>
      <c r="I355" s="91"/>
      <c r="J355" s="91"/>
      <c r="K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c r="GU355" s="91"/>
      <c r="GV355" s="91"/>
      <c r="GW355" s="91"/>
      <c r="GX355" s="91"/>
      <c r="GY355" s="91"/>
      <c r="GZ355" s="91"/>
      <c r="HA355" s="91"/>
      <c r="HB355" s="91"/>
      <c r="HC355" s="91"/>
      <c r="HD355" s="91"/>
      <c r="HE355" s="91"/>
      <c r="HF355" s="91"/>
      <c r="HG355" s="91"/>
      <c r="HH355" s="91"/>
      <c r="HI355" s="91"/>
      <c r="HJ355" s="91"/>
      <c r="HK355" s="91"/>
      <c r="HL355" s="91"/>
      <c r="HM355" s="91"/>
      <c r="HN355" s="91"/>
      <c r="HO355" s="91"/>
      <c r="HP355" s="91"/>
      <c r="HQ355" s="91"/>
      <c r="HR355" s="91"/>
      <c r="HS355" s="91"/>
      <c r="HT355" s="91"/>
      <c r="HU355" s="91"/>
      <c r="HV355" s="91"/>
      <c r="HW355" s="91"/>
      <c r="HX355" s="91"/>
      <c r="HY355" s="91"/>
      <c r="HZ355" s="91"/>
      <c r="IA355" s="91"/>
      <c r="IB355" s="91"/>
      <c r="IC355" s="91"/>
      <c r="ID355" s="91"/>
      <c r="IE355" s="91"/>
    </row>
    <row r="356" spans="2:239" ht="15" x14ac:dyDescent="0.2">
      <c r="B356" s="91"/>
      <c r="C356" s="91"/>
      <c r="D356" s="91"/>
      <c r="E356" s="227"/>
      <c r="F356" s="91"/>
      <c r="G356" s="91"/>
      <c r="H356" s="91"/>
      <c r="I356" s="91"/>
      <c r="J356" s="91"/>
      <c r="K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c r="HV356" s="91"/>
      <c r="HW356" s="91"/>
      <c r="HX356" s="91"/>
      <c r="HY356" s="91"/>
      <c r="HZ356" s="91"/>
      <c r="IA356" s="91"/>
      <c r="IB356" s="91"/>
      <c r="IC356" s="91"/>
      <c r="ID356" s="91"/>
      <c r="IE356" s="91"/>
    </row>
    <row r="357" spans="2:239" ht="15" x14ac:dyDescent="0.2">
      <c r="B357" s="91"/>
      <c r="C357" s="91"/>
      <c r="D357" s="91"/>
      <c r="E357" s="227"/>
      <c r="F357" s="91"/>
      <c r="G357" s="91"/>
      <c r="H357" s="91"/>
      <c r="I357" s="91"/>
      <c r="J357" s="91"/>
      <c r="K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c r="GU357" s="91"/>
      <c r="GV357" s="91"/>
      <c r="GW357" s="91"/>
      <c r="GX357" s="91"/>
      <c r="GY357" s="91"/>
      <c r="GZ357" s="91"/>
      <c r="HA357" s="91"/>
      <c r="HB357" s="91"/>
      <c r="HC357" s="91"/>
      <c r="HD357" s="91"/>
      <c r="HE357" s="91"/>
      <c r="HF357" s="91"/>
      <c r="HG357" s="91"/>
      <c r="HH357" s="91"/>
      <c r="HI357" s="91"/>
      <c r="HJ357" s="91"/>
      <c r="HK357" s="91"/>
      <c r="HL357" s="91"/>
      <c r="HM357" s="91"/>
      <c r="HN357" s="91"/>
      <c r="HO357" s="91"/>
      <c r="HP357" s="91"/>
      <c r="HQ357" s="91"/>
      <c r="HR357" s="91"/>
      <c r="HS357" s="91"/>
      <c r="HT357" s="91"/>
      <c r="HU357" s="91"/>
      <c r="HV357" s="91"/>
      <c r="HW357" s="91"/>
      <c r="HX357" s="91"/>
      <c r="HY357" s="91"/>
      <c r="HZ357" s="91"/>
      <c r="IA357" s="91"/>
      <c r="IB357" s="91"/>
      <c r="IC357" s="91"/>
      <c r="ID357" s="91"/>
      <c r="IE357" s="91"/>
    </row>
    <row r="358" spans="2:239" ht="15" x14ac:dyDescent="0.2">
      <c r="B358" s="91"/>
      <c r="C358" s="91"/>
      <c r="D358" s="91"/>
      <c r="E358" s="227"/>
      <c r="F358" s="91"/>
      <c r="G358" s="91"/>
      <c r="H358" s="91"/>
      <c r="I358" s="91"/>
      <c r="J358" s="91"/>
      <c r="K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c r="HV358" s="91"/>
      <c r="HW358" s="91"/>
      <c r="HX358" s="91"/>
      <c r="HY358" s="91"/>
      <c r="HZ358" s="91"/>
      <c r="IA358" s="91"/>
      <c r="IB358" s="91"/>
      <c r="IC358" s="91"/>
      <c r="ID358" s="91"/>
      <c r="IE358" s="91"/>
    </row>
    <row r="359" spans="2:239" ht="15" x14ac:dyDescent="0.2">
      <c r="B359" s="91"/>
      <c r="C359" s="91"/>
      <c r="D359" s="91"/>
      <c r="E359" s="227"/>
      <c r="F359" s="91"/>
      <c r="G359" s="91"/>
      <c r="H359" s="91"/>
      <c r="I359" s="91"/>
      <c r="J359" s="91"/>
      <c r="K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c r="GU359" s="91"/>
      <c r="GV359" s="91"/>
      <c r="GW359" s="91"/>
      <c r="GX359" s="91"/>
      <c r="GY359" s="91"/>
      <c r="GZ359" s="91"/>
      <c r="HA359" s="91"/>
      <c r="HB359" s="91"/>
      <c r="HC359" s="91"/>
      <c r="HD359" s="91"/>
      <c r="HE359" s="91"/>
      <c r="HF359" s="91"/>
      <c r="HG359" s="91"/>
      <c r="HH359" s="91"/>
      <c r="HI359" s="91"/>
      <c r="HJ359" s="91"/>
      <c r="HK359" s="91"/>
      <c r="HL359" s="91"/>
      <c r="HM359" s="91"/>
      <c r="HN359" s="91"/>
      <c r="HO359" s="91"/>
      <c r="HP359" s="91"/>
      <c r="HQ359" s="91"/>
      <c r="HR359" s="91"/>
      <c r="HS359" s="91"/>
      <c r="HT359" s="91"/>
      <c r="HU359" s="91"/>
      <c r="HV359" s="91"/>
      <c r="HW359" s="91"/>
      <c r="HX359" s="91"/>
      <c r="HY359" s="91"/>
      <c r="HZ359" s="91"/>
      <c r="IA359" s="91"/>
      <c r="IB359" s="91"/>
      <c r="IC359" s="91"/>
      <c r="ID359" s="91"/>
      <c r="IE359" s="91"/>
    </row>
    <row r="360" spans="2:239" ht="15" x14ac:dyDescent="0.2">
      <c r="B360" s="91"/>
      <c r="C360" s="91"/>
      <c r="D360" s="91"/>
      <c r="E360" s="227"/>
      <c r="F360" s="91"/>
      <c r="G360" s="91"/>
      <c r="H360" s="91"/>
      <c r="I360" s="91"/>
      <c r="J360" s="91"/>
      <c r="K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c r="HV360" s="91"/>
      <c r="HW360" s="91"/>
      <c r="HX360" s="91"/>
      <c r="HY360" s="91"/>
      <c r="HZ360" s="91"/>
      <c r="IA360" s="91"/>
      <c r="IB360" s="91"/>
      <c r="IC360" s="91"/>
      <c r="ID360" s="91"/>
      <c r="IE360" s="91"/>
    </row>
    <row r="361" spans="2:239" ht="15" x14ac:dyDescent="0.2">
      <c r="B361" s="91"/>
      <c r="C361" s="91"/>
      <c r="D361" s="91"/>
      <c r="E361" s="227"/>
      <c r="F361" s="91"/>
      <c r="G361" s="91"/>
      <c r="H361" s="91"/>
      <c r="I361" s="91"/>
      <c r="J361" s="91"/>
      <c r="K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c r="GU361" s="91"/>
      <c r="GV361" s="91"/>
      <c r="GW361" s="91"/>
      <c r="GX361" s="91"/>
      <c r="GY361" s="91"/>
      <c r="GZ361" s="91"/>
      <c r="HA361" s="91"/>
      <c r="HB361" s="91"/>
      <c r="HC361" s="91"/>
      <c r="HD361" s="91"/>
      <c r="HE361" s="91"/>
      <c r="HF361" s="91"/>
      <c r="HG361" s="91"/>
      <c r="HH361" s="91"/>
      <c r="HI361" s="91"/>
      <c r="HJ361" s="91"/>
      <c r="HK361" s="91"/>
      <c r="HL361" s="91"/>
      <c r="HM361" s="91"/>
      <c r="HN361" s="91"/>
      <c r="HO361" s="91"/>
      <c r="HP361" s="91"/>
      <c r="HQ361" s="91"/>
      <c r="HR361" s="91"/>
      <c r="HS361" s="91"/>
      <c r="HT361" s="91"/>
      <c r="HU361" s="91"/>
      <c r="HV361" s="91"/>
      <c r="HW361" s="91"/>
      <c r="HX361" s="91"/>
      <c r="HY361" s="91"/>
      <c r="HZ361" s="91"/>
      <c r="IA361" s="91"/>
      <c r="IB361" s="91"/>
      <c r="IC361" s="91"/>
      <c r="ID361" s="91"/>
      <c r="IE361" s="91"/>
    </row>
    <row r="362" spans="2:239" ht="15" x14ac:dyDescent="0.2">
      <c r="B362" s="91"/>
      <c r="C362" s="91"/>
      <c r="D362" s="91"/>
      <c r="E362" s="227"/>
      <c r="F362" s="91"/>
      <c r="G362" s="91"/>
      <c r="H362" s="91"/>
      <c r="I362" s="91"/>
      <c r="J362" s="91"/>
      <c r="K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c r="HV362" s="91"/>
      <c r="HW362" s="91"/>
      <c r="HX362" s="91"/>
      <c r="HY362" s="91"/>
      <c r="HZ362" s="91"/>
      <c r="IA362" s="91"/>
      <c r="IB362" s="91"/>
      <c r="IC362" s="91"/>
      <c r="ID362" s="91"/>
      <c r="IE362" s="91"/>
    </row>
    <row r="363" spans="2:239" ht="15" x14ac:dyDescent="0.2">
      <c r="B363" s="91"/>
      <c r="C363" s="91"/>
      <c r="D363" s="91"/>
      <c r="E363" s="227"/>
      <c r="F363" s="91"/>
      <c r="G363" s="91"/>
      <c r="H363" s="91"/>
      <c r="I363" s="91"/>
      <c r="J363" s="91"/>
      <c r="K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c r="GU363" s="91"/>
      <c r="GV363" s="91"/>
      <c r="GW363" s="91"/>
      <c r="GX363" s="91"/>
      <c r="GY363" s="91"/>
      <c r="GZ363" s="91"/>
      <c r="HA363" s="91"/>
      <c r="HB363" s="91"/>
      <c r="HC363" s="91"/>
      <c r="HD363" s="91"/>
      <c r="HE363" s="91"/>
      <c r="HF363" s="91"/>
      <c r="HG363" s="91"/>
      <c r="HH363" s="91"/>
      <c r="HI363" s="91"/>
      <c r="HJ363" s="91"/>
      <c r="HK363" s="91"/>
      <c r="HL363" s="91"/>
      <c r="HM363" s="91"/>
      <c r="HN363" s="91"/>
      <c r="HO363" s="91"/>
      <c r="HP363" s="91"/>
      <c r="HQ363" s="91"/>
      <c r="HR363" s="91"/>
      <c r="HS363" s="91"/>
      <c r="HT363" s="91"/>
      <c r="HU363" s="91"/>
      <c r="HV363" s="91"/>
      <c r="HW363" s="91"/>
      <c r="HX363" s="91"/>
      <c r="HY363" s="91"/>
      <c r="HZ363" s="91"/>
      <c r="IA363" s="91"/>
      <c r="IB363" s="91"/>
      <c r="IC363" s="91"/>
      <c r="ID363" s="91"/>
      <c r="IE363" s="91"/>
    </row>
    <row r="364" spans="2:239" ht="15" x14ac:dyDescent="0.2">
      <c r="B364" s="91"/>
      <c r="C364" s="91"/>
      <c r="D364" s="91"/>
      <c r="E364" s="227"/>
      <c r="F364" s="91"/>
      <c r="G364" s="91"/>
      <c r="H364" s="91"/>
      <c r="I364" s="91"/>
      <c r="J364" s="91"/>
      <c r="K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c r="HV364" s="91"/>
      <c r="HW364" s="91"/>
      <c r="HX364" s="91"/>
      <c r="HY364" s="91"/>
      <c r="HZ364" s="91"/>
      <c r="IA364" s="91"/>
      <c r="IB364" s="91"/>
      <c r="IC364" s="91"/>
      <c r="ID364" s="91"/>
      <c r="IE364" s="91"/>
    </row>
    <row r="365" spans="2:239" ht="15" x14ac:dyDescent="0.2">
      <c r="B365" s="91"/>
      <c r="C365" s="91"/>
      <c r="D365" s="91"/>
      <c r="E365" s="227"/>
      <c r="F365" s="91"/>
      <c r="G365" s="91"/>
      <c r="H365" s="91"/>
      <c r="I365" s="91"/>
      <c r="J365" s="91"/>
      <c r="K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c r="GU365" s="91"/>
      <c r="GV365" s="91"/>
      <c r="GW365" s="91"/>
      <c r="GX365" s="91"/>
      <c r="GY365" s="91"/>
      <c r="GZ365" s="91"/>
      <c r="HA365" s="91"/>
      <c r="HB365" s="91"/>
      <c r="HC365" s="91"/>
      <c r="HD365" s="91"/>
      <c r="HE365" s="91"/>
      <c r="HF365" s="91"/>
      <c r="HG365" s="91"/>
      <c r="HH365" s="91"/>
      <c r="HI365" s="91"/>
      <c r="HJ365" s="91"/>
      <c r="HK365" s="91"/>
      <c r="HL365" s="91"/>
      <c r="HM365" s="91"/>
      <c r="HN365" s="91"/>
      <c r="HO365" s="91"/>
      <c r="HP365" s="91"/>
      <c r="HQ365" s="91"/>
      <c r="HR365" s="91"/>
      <c r="HS365" s="91"/>
      <c r="HT365" s="91"/>
      <c r="HU365" s="91"/>
      <c r="HV365" s="91"/>
      <c r="HW365" s="91"/>
      <c r="HX365" s="91"/>
      <c r="HY365" s="91"/>
      <c r="HZ365" s="91"/>
      <c r="IA365" s="91"/>
      <c r="IB365" s="91"/>
      <c r="IC365" s="91"/>
      <c r="ID365" s="91"/>
      <c r="IE365" s="91"/>
    </row>
    <row r="366" spans="2:239" ht="15" x14ac:dyDescent="0.2">
      <c r="B366" s="91"/>
      <c r="C366" s="91"/>
      <c r="D366" s="91"/>
      <c r="E366" s="227"/>
      <c r="F366" s="91"/>
      <c r="G366" s="91"/>
      <c r="H366" s="91"/>
      <c r="I366" s="91"/>
      <c r="J366" s="91"/>
      <c r="K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c r="HV366" s="91"/>
      <c r="HW366" s="91"/>
      <c r="HX366" s="91"/>
      <c r="HY366" s="91"/>
      <c r="HZ366" s="91"/>
      <c r="IA366" s="91"/>
      <c r="IB366" s="91"/>
      <c r="IC366" s="91"/>
      <c r="ID366" s="91"/>
      <c r="IE366" s="91"/>
    </row>
    <row r="367" spans="2:239" ht="15" x14ac:dyDescent="0.2">
      <c r="B367" s="91"/>
      <c r="C367" s="91"/>
      <c r="D367" s="91"/>
      <c r="E367" s="227"/>
      <c r="F367" s="91"/>
      <c r="G367" s="91"/>
      <c r="H367" s="91"/>
      <c r="I367" s="91"/>
      <c r="J367" s="91"/>
      <c r="K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c r="GU367" s="91"/>
      <c r="GV367" s="91"/>
      <c r="GW367" s="91"/>
      <c r="GX367" s="91"/>
      <c r="GY367" s="91"/>
      <c r="GZ367" s="91"/>
      <c r="HA367" s="91"/>
      <c r="HB367" s="91"/>
      <c r="HC367" s="91"/>
      <c r="HD367" s="91"/>
      <c r="HE367" s="91"/>
      <c r="HF367" s="91"/>
      <c r="HG367" s="91"/>
      <c r="HH367" s="91"/>
      <c r="HI367" s="91"/>
      <c r="HJ367" s="91"/>
      <c r="HK367" s="91"/>
      <c r="HL367" s="91"/>
      <c r="HM367" s="91"/>
      <c r="HN367" s="91"/>
      <c r="HO367" s="91"/>
      <c r="HP367" s="91"/>
      <c r="HQ367" s="91"/>
      <c r="HR367" s="91"/>
      <c r="HS367" s="91"/>
      <c r="HT367" s="91"/>
      <c r="HU367" s="91"/>
      <c r="HV367" s="91"/>
      <c r="HW367" s="91"/>
      <c r="HX367" s="91"/>
      <c r="HY367" s="91"/>
      <c r="HZ367" s="91"/>
      <c r="IA367" s="91"/>
      <c r="IB367" s="91"/>
      <c r="IC367" s="91"/>
      <c r="ID367" s="91"/>
      <c r="IE367" s="91"/>
    </row>
    <row r="368" spans="2:239" ht="15" x14ac:dyDescent="0.2">
      <c r="B368" s="91"/>
      <c r="C368" s="91"/>
      <c r="D368" s="91"/>
      <c r="E368" s="227"/>
      <c r="F368" s="91"/>
      <c r="G368" s="91"/>
      <c r="H368" s="91"/>
      <c r="I368" s="91"/>
      <c r="J368" s="91"/>
      <c r="K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c r="HV368" s="91"/>
      <c r="HW368" s="91"/>
      <c r="HX368" s="91"/>
      <c r="HY368" s="91"/>
      <c r="HZ368" s="91"/>
      <c r="IA368" s="91"/>
      <c r="IB368" s="91"/>
      <c r="IC368" s="91"/>
      <c r="ID368" s="91"/>
      <c r="IE368" s="91"/>
    </row>
    <row r="369" spans="2:239" ht="15" x14ac:dyDescent="0.2">
      <c r="B369" s="91"/>
      <c r="C369" s="91"/>
      <c r="D369" s="91"/>
      <c r="E369" s="227"/>
      <c r="F369" s="91"/>
      <c r="G369" s="91"/>
      <c r="H369" s="91"/>
      <c r="I369" s="91"/>
      <c r="J369" s="91"/>
      <c r="K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c r="GU369" s="91"/>
      <c r="GV369" s="91"/>
      <c r="GW369" s="91"/>
      <c r="GX369" s="91"/>
      <c r="GY369" s="91"/>
      <c r="GZ369" s="91"/>
      <c r="HA369" s="91"/>
      <c r="HB369" s="91"/>
      <c r="HC369" s="91"/>
      <c r="HD369" s="91"/>
      <c r="HE369" s="91"/>
      <c r="HF369" s="91"/>
      <c r="HG369" s="91"/>
      <c r="HH369" s="91"/>
      <c r="HI369" s="91"/>
      <c r="HJ369" s="91"/>
      <c r="HK369" s="91"/>
      <c r="HL369" s="91"/>
      <c r="HM369" s="91"/>
      <c r="HN369" s="91"/>
      <c r="HO369" s="91"/>
      <c r="HP369" s="91"/>
      <c r="HQ369" s="91"/>
      <c r="HR369" s="91"/>
      <c r="HS369" s="91"/>
      <c r="HT369" s="91"/>
      <c r="HU369" s="91"/>
      <c r="HV369" s="91"/>
      <c r="HW369" s="91"/>
      <c r="HX369" s="91"/>
      <c r="HY369" s="91"/>
      <c r="HZ369" s="91"/>
      <c r="IA369" s="91"/>
      <c r="IB369" s="91"/>
      <c r="IC369" s="91"/>
      <c r="ID369" s="91"/>
      <c r="IE369" s="91"/>
    </row>
    <row r="370" spans="2:239" ht="15" x14ac:dyDescent="0.2">
      <c r="B370" s="91"/>
      <c r="C370" s="91"/>
      <c r="D370" s="91"/>
      <c r="E370" s="227"/>
      <c r="F370" s="91"/>
      <c r="G370" s="91"/>
      <c r="H370" s="91"/>
      <c r="I370" s="91"/>
      <c r="J370" s="91"/>
      <c r="K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c r="HV370" s="91"/>
      <c r="HW370" s="91"/>
      <c r="HX370" s="91"/>
      <c r="HY370" s="91"/>
      <c r="HZ370" s="91"/>
      <c r="IA370" s="91"/>
      <c r="IB370" s="91"/>
      <c r="IC370" s="91"/>
      <c r="ID370" s="91"/>
      <c r="IE370" s="91"/>
    </row>
    <row r="371" spans="2:239" ht="15" x14ac:dyDescent="0.2">
      <c r="B371" s="91"/>
      <c r="C371" s="91"/>
      <c r="D371" s="91"/>
      <c r="E371" s="227"/>
      <c r="F371" s="91"/>
      <c r="G371" s="91"/>
      <c r="H371" s="91"/>
      <c r="I371" s="91"/>
      <c r="J371" s="91"/>
      <c r="K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c r="GU371" s="91"/>
      <c r="GV371" s="91"/>
      <c r="GW371" s="91"/>
      <c r="GX371" s="91"/>
      <c r="GY371" s="91"/>
      <c r="GZ371" s="91"/>
      <c r="HA371" s="91"/>
      <c r="HB371" s="91"/>
      <c r="HC371" s="91"/>
      <c r="HD371" s="91"/>
      <c r="HE371" s="91"/>
      <c r="HF371" s="91"/>
      <c r="HG371" s="91"/>
      <c r="HH371" s="91"/>
      <c r="HI371" s="91"/>
      <c r="HJ371" s="91"/>
      <c r="HK371" s="91"/>
      <c r="HL371" s="91"/>
      <c r="HM371" s="91"/>
      <c r="HN371" s="91"/>
      <c r="HO371" s="91"/>
      <c r="HP371" s="91"/>
      <c r="HQ371" s="91"/>
      <c r="HR371" s="91"/>
      <c r="HS371" s="91"/>
      <c r="HT371" s="91"/>
      <c r="HU371" s="91"/>
      <c r="HV371" s="91"/>
      <c r="HW371" s="91"/>
      <c r="HX371" s="91"/>
      <c r="HY371" s="91"/>
      <c r="HZ371" s="91"/>
      <c r="IA371" s="91"/>
      <c r="IB371" s="91"/>
      <c r="IC371" s="91"/>
      <c r="ID371" s="91"/>
      <c r="IE371" s="91"/>
    </row>
    <row r="372" spans="2:239" ht="15" x14ac:dyDescent="0.2">
      <c r="B372" s="91"/>
      <c r="C372" s="91"/>
      <c r="D372" s="91"/>
      <c r="E372" s="227"/>
      <c r="F372" s="91"/>
      <c r="G372" s="91"/>
      <c r="H372" s="91"/>
      <c r="I372" s="91"/>
      <c r="J372" s="91"/>
      <c r="K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c r="HV372" s="91"/>
      <c r="HW372" s="91"/>
      <c r="HX372" s="91"/>
      <c r="HY372" s="91"/>
      <c r="HZ372" s="91"/>
      <c r="IA372" s="91"/>
      <c r="IB372" s="91"/>
      <c r="IC372" s="91"/>
      <c r="ID372" s="91"/>
      <c r="IE372" s="91"/>
    </row>
    <row r="373" spans="2:239" ht="15" x14ac:dyDescent="0.2">
      <c r="B373" s="91"/>
      <c r="C373" s="91"/>
      <c r="D373" s="91"/>
      <c r="E373" s="227"/>
      <c r="F373" s="91"/>
      <c r="G373" s="91"/>
      <c r="H373" s="91"/>
      <c r="I373" s="91"/>
      <c r="J373" s="91"/>
      <c r="K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c r="GU373" s="91"/>
      <c r="GV373" s="91"/>
      <c r="GW373" s="91"/>
      <c r="GX373" s="91"/>
      <c r="GY373" s="91"/>
      <c r="GZ373" s="91"/>
      <c r="HA373" s="91"/>
      <c r="HB373" s="91"/>
      <c r="HC373" s="91"/>
      <c r="HD373" s="91"/>
      <c r="HE373" s="91"/>
      <c r="HF373" s="91"/>
      <c r="HG373" s="91"/>
      <c r="HH373" s="91"/>
      <c r="HI373" s="91"/>
      <c r="HJ373" s="91"/>
      <c r="HK373" s="91"/>
      <c r="HL373" s="91"/>
      <c r="HM373" s="91"/>
      <c r="HN373" s="91"/>
      <c r="HO373" s="91"/>
      <c r="HP373" s="91"/>
      <c r="HQ373" s="91"/>
      <c r="HR373" s="91"/>
      <c r="HS373" s="91"/>
      <c r="HT373" s="91"/>
      <c r="HU373" s="91"/>
      <c r="HV373" s="91"/>
      <c r="HW373" s="91"/>
      <c r="HX373" s="91"/>
      <c r="HY373" s="91"/>
      <c r="HZ373" s="91"/>
      <c r="IA373" s="91"/>
      <c r="IB373" s="91"/>
      <c r="IC373" s="91"/>
      <c r="ID373" s="91"/>
      <c r="IE373" s="91"/>
    </row>
    <row r="374" spans="2:239" ht="15" x14ac:dyDescent="0.2">
      <c r="B374" s="91"/>
      <c r="C374" s="91"/>
      <c r="D374" s="91"/>
      <c r="E374" s="227"/>
      <c r="F374" s="91"/>
      <c r="G374" s="91"/>
      <c r="H374" s="91"/>
      <c r="I374" s="91"/>
      <c r="J374" s="91"/>
      <c r="K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c r="HV374" s="91"/>
      <c r="HW374" s="91"/>
      <c r="HX374" s="91"/>
      <c r="HY374" s="91"/>
      <c r="HZ374" s="91"/>
      <c r="IA374" s="91"/>
      <c r="IB374" s="91"/>
      <c r="IC374" s="91"/>
      <c r="ID374" s="91"/>
      <c r="IE374" s="91"/>
    </row>
    <row r="375" spans="2:239" ht="15" x14ac:dyDescent="0.2">
      <c r="B375" s="91"/>
      <c r="C375" s="91"/>
      <c r="D375" s="91"/>
      <c r="E375" s="227"/>
      <c r="F375" s="91"/>
      <c r="G375" s="91"/>
      <c r="H375" s="91"/>
      <c r="I375" s="91"/>
      <c r="J375" s="91"/>
      <c r="K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c r="GU375" s="91"/>
      <c r="GV375" s="91"/>
      <c r="GW375" s="91"/>
      <c r="GX375" s="91"/>
      <c r="GY375" s="91"/>
      <c r="GZ375" s="91"/>
      <c r="HA375" s="91"/>
      <c r="HB375" s="91"/>
      <c r="HC375" s="91"/>
      <c r="HD375" s="91"/>
      <c r="HE375" s="91"/>
      <c r="HF375" s="91"/>
      <c r="HG375" s="91"/>
      <c r="HH375" s="91"/>
      <c r="HI375" s="91"/>
      <c r="HJ375" s="91"/>
      <c r="HK375" s="91"/>
      <c r="HL375" s="91"/>
      <c r="HM375" s="91"/>
      <c r="HN375" s="91"/>
      <c r="HO375" s="91"/>
      <c r="HP375" s="91"/>
      <c r="HQ375" s="91"/>
      <c r="HR375" s="91"/>
      <c r="HS375" s="91"/>
      <c r="HT375" s="91"/>
      <c r="HU375" s="91"/>
      <c r="HV375" s="91"/>
      <c r="HW375" s="91"/>
      <c r="HX375" s="91"/>
      <c r="HY375" s="91"/>
      <c r="HZ375" s="91"/>
      <c r="IA375" s="91"/>
      <c r="IB375" s="91"/>
      <c r="IC375" s="91"/>
      <c r="ID375" s="91"/>
      <c r="IE375" s="91"/>
    </row>
    <row r="376" spans="2:239" ht="15" x14ac:dyDescent="0.2">
      <c r="B376" s="91"/>
      <c r="C376" s="91"/>
      <c r="D376" s="91"/>
      <c r="E376" s="227"/>
      <c r="F376" s="91"/>
      <c r="G376" s="91"/>
      <c r="H376" s="91"/>
      <c r="I376" s="91"/>
      <c r="J376" s="91"/>
      <c r="K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c r="HV376" s="91"/>
      <c r="HW376" s="91"/>
      <c r="HX376" s="91"/>
      <c r="HY376" s="91"/>
      <c r="HZ376" s="91"/>
      <c r="IA376" s="91"/>
      <c r="IB376" s="91"/>
      <c r="IC376" s="91"/>
      <c r="ID376" s="91"/>
      <c r="IE376" s="91"/>
    </row>
    <row r="377" spans="2:239" ht="15" x14ac:dyDescent="0.2">
      <c r="B377" s="91"/>
      <c r="C377" s="91"/>
      <c r="D377" s="91"/>
      <c r="E377" s="227"/>
      <c r="F377" s="91"/>
      <c r="G377" s="91"/>
      <c r="H377" s="91"/>
      <c r="I377" s="91"/>
      <c r="J377" s="91"/>
      <c r="K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c r="GU377" s="91"/>
      <c r="GV377" s="91"/>
      <c r="GW377" s="91"/>
      <c r="GX377" s="91"/>
      <c r="GY377" s="91"/>
      <c r="GZ377" s="91"/>
      <c r="HA377" s="91"/>
      <c r="HB377" s="91"/>
      <c r="HC377" s="91"/>
      <c r="HD377" s="91"/>
      <c r="HE377" s="91"/>
      <c r="HF377" s="91"/>
      <c r="HG377" s="91"/>
      <c r="HH377" s="91"/>
      <c r="HI377" s="91"/>
      <c r="HJ377" s="91"/>
      <c r="HK377" s="91"/>
      <c r="HL377" s="91"/>
      <c r="HM377" s="91"/>
      <c r="HN377" s="91"/>
      <c r="HO377" s="91"/>
      <c r="HP377" s="91"/>
      <c r="HQ377" s="91"/>
      <c r="HR377" s="91"/>
      <c r="HS377" s="91"/>
      <c r="HT377" s="91"/>
      <c r="HU377" s="91"/>
      <c r="HV377" s="91"/>
      <c r="HW377" s="91"/>
      <c r="HX377" s="91"/>
      <c r="HY377" s="91"/>
      <c r="HZ377" s="91"/>
      <c r="IA377" s="91"/>
      <c r="IB377" s="91"/>
      <c r="IC377" s="91"/>
      <c r="ID377" s="91"/>
      <c r="IE377" s="91"/>
    </row>
    <row r="378" spans="2:239" ht="15" x14ac:dyDescent="0.2">
      <c r="B378" s="91"/>
      <c r="C378" s="91"/>
      <c r="D378" s="91"/>
      <c r="E378" s="227"/>
      <c r="F378" s="91"/>
      <c r="G378" s="91"/>
      <c r="H378" s="91"/>
      <c r="I378" s="91"/>
      <c r="J378" s="91"/>
      <c r="K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c r="HV378" s="91"/>
      <c r="HW378" s="91"/>
      <c r="HX378" s="91"/>
      <c r="HY378" s="91"/>
      <c r="HZ378" s="91"/>
      <c r="IA378" s="91"/>
      <c r="IB378" s="91"/>
      <c r="IC378" s="91"/>
      <c r="ID378" s="91"/>
      <c r="IE378" s="91"/>
    </row>
    <row r="379" spans="2:239" ht="15" x14ac:dyDescent="0.2">
      <c r="B379" s="91"/>
      <c r="C379" s="91"/>
      <c r="D379" s="91"/>
      <c r="E379" s="227"/>
      <c r="F379" s="91"/>
      <c r="G379" s="91"/>
      <c r="H379" s="91"/>
      <c r="I379" s="91"/>
      <c r="J379" s="91"/>
      <c r="K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c r="GU379" s="91"/>
      <c r="GV379" s="91"/>
      <c r="GW379" s="91"/>
      <c r="GX379" s="91"/>
      <c r="GY379" s="91"/>
      <c r="GZ379" s="91"/>
      <c r="HA379" s="91"/>
      <c r="HB379" s="91"/>
      <c r="HC379" s="91"/>
      <c r="HD379" s="91"/>
      <c r="HE379" s="91"/>
      <c r="HF379" s="91"/>
      <c r="HG379" s="91"/>
      <c r="HH379" s="91"/>
      <c r="HI379" s="91"/>
      <c r="HJ379" s="91"/>
      <c r="HK379" s="91"/>
      <c r="HL379" s="91"/>
      <c r="HM379" s="91"/>
      <c r="HN379" s="91"/>
      <c r="HO379" s="91"/>
      <c r="HP379" s="91"/>
      <c r="HQ379" s="91"/>
      <c r="HR379" s="91"/>
      <c r="HS379" s="91"/>
      <c r="HT379" s="91"/>
      <c r="HU379" s="91"/>
      <c r="HV379" s="91"/>
      <c r="HW379" s="91"/>
      <c r="HX379" s="91"/>
      <c r="HY379" s="91"/>
      <c r="HZ379" s="91"/>
      <c r="IA379" s="91"/>
      <c r="IB379" s="91"/>
      <c r="IC379" s="91"/>
      <c r="ID379" s="91"/>
      <c r="IE379" s="91"/>
    </row>
    <row r="380" spans="2:239" ht="15" x14ac:dyDescent="0.2">
      <c r="B380" s="91"/>
      <c r="C380" s="91"/>
      <c r="D380" s="91"/>
      <c r="E380" s="227"/>
      <c r="F380" s="91"/>
      <c r="G380" s="91"/>
      <c r="H380" s="91"/>
      <c r="I380" s="91"/>
      <c r="J380" s="91"/>
      <c r="K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c r="HV380" s="91"/>
      <c r="HW380" s="91"/>
      <c r="HX380" s="91"/>
      <c r="HY380" s="91"/>
      <c r="HZ380" s="91"/>
      <c r="IA380" s="91"/>
      <c r="IB380" s="91"/>
      <c r="IC380" s="91"/>
      <c r="ID380" s="91"/>
      <c r="IE380" s="91"/>
    </row>
    <row r="381" spans="2:239" ht="15" x14ac:dyDescent="0.2">
      <c r="B381" s="91"/>
      <c r="C381" s="91"/>
      <c r="D381" s="91"/>
      <c r="E381" s="227"/>
      <c r="F381" s="91"/>
      <c r="G381" s="91"/>
      <c r="H381" s="91"/>
      <c r="I381" s="91"/>
      <c r="J381" s="91"/>
      <c r="K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c r="GU381" s="91"/>
      <c r="GV381" s="91"/>
      <c r="GW381" s="91"/>
      <c r="GX381" s="91"/>
      <c r="GY381" s="91"/>
      <c r="GZ381" s="91"/>
      <c r="HA381" s="91"/>
      <c r="HB381" s="91"/>
      <c r="HC381" s="91"/>
      <c r="HD381" s="91"/>
      <c r="HE381" s="91"/>
      <c r="HF381" s="91"/>
      <c r="HG381" s="91"/>
      <c r="HH381" s="91"/>
      <c r="HI381" s="91"/>
      <c r="HJ381" s="91"/>
      <c r="HK381" s="91"/>
      <c r="HL381" s="91"/>
      <c r="HM381" s="91"/>
      <c r="HN381" s="91"/>
      <c r="HO381" s="91"/>
      <c r="HP381" s="91"/>
      <c r="HQ381" s="91"/>
      <c r="HR381" s="91"/>
      <c r="HS381" s="91"/>
      <c r="HT381" s="91"/>
      <c r="HU381" s="91"/>
      <c r="HV381" s="91"/>
      <c r="HW381" s="91"/>
      <c r="HX381" s="91"/>
      <c r="HY381" s="91"/>
      <c r="HZ381" s="91"/>
      <c r="IA381" s="91"/>
      <c r="IB381" s="91"/>
      <c r="IC381" s="91"/>
      <c r="ID381" s="91"/>
      <c r="IE381" s="91"/>
    </row>
    <row r="382" spans="2:239" ht="15" x14ac:dyDescent="0.2">
      <c r="B382" s="91"/>
      <c r="C382" s="91"/>
      <c r="D382" s="91"/>
      <c r="E382" s="227"/>
      <c r="F382" s="91"/>
      <c r="G382" s="91"/>
      <c r="H382" s="91"/>
      <c r="I382" s="91"/>
      <c r="J382" s="91"/>
      <c r="K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c r="HV382" s="91"/>
      <c r="HW382" s="91"/>
      <c r="HX382" s="91"/>
      <c r="HY382" s="91"/>
      <c r="HZ382" s="91"/>
      <c r="IA382" s="91"/>
      <c r="IB382" s="91"/>
      <c r="IC382" s="91"/>
      <c r="ID382" s="91"/>
      <c r="IE382" s="91"/>
    </row>
    <row r="383" spans="2:239" ht="15" x14ac:dyDescent="0.2">
      <c r="B383" s="91"/>
      <c r="C383" s="91"/>
      <c r="D383" s="91"/>
      <c r="E383" s="227"/>
      <c r="F383" s="91"/>
      <c r="G383" s="91"/>
      <c r="H383" s="91"/>
      <c r="I383" s="91"/>
      <c r="J383" s="91"/>
      <c r="K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c r="GU383" s="91"/>
      <c r="GV383" s="91"/>
      <c r="GW383" s="91"/>
      <c r="GX383" s="91"/>
      <c r="GY383" s="91"/>
      <c r="GZ383" s="91"/>
      <c r="HA383" s="91"/>
      <c r="HB383" s="91"/>
      <c r="HC383" s="91"/>
      <c r="HD383" s="91"/>
      <c r="HE383" s="91"/>
      <c r="HF383" s="91"/>
      <c r="HG383" s="91"/>
      <c r="HH383" s="91"/>
      <c r="HI383" s="91"/>
      <c r="HJ383" s="91"/>
      <c r="HK383" s="91"/>
      <c r="HL383" s="91"/>
      <c r="HM383" s="91"/>
      <c r="HN383" s="91"/>
      <c r="HO383" s="91"/>
      <c r="HP383" s="91"/>
      <c r="HQ383" s="91"/>
      <c r="HR383" s="91"/>
      <c r="HS383" s="91"/>
      <c r="HT383" s="91"/>
      <c r="HU383" s="91"/>
      <c r="HV383" s="91"/>
      <c r="HW383" s="91"/>
      <c r="HX383" s="91"/>
      <c r="HY383" s="91"/>
      <c r="HZ383" s="91"/>
      <c r="IA383" s="91"/>
      <c r="IB383" s="91"/>
      <c r="IC383" s="91"/>
      <c r="ID383" s="91"/>
      <c r="IE383" s="91"/>
    </row>
    <row r="384" spans="2:239" ht="15" x14ac:dyDescent="0.2">
      <c r="B384" s="91"/>
      <c r="C384" s="91"/>
      <c r="D384" s="91"/>
      <c r="E384" s="227"/>
      <c r="F384" s="91"/>
      <c r="G384" s="91"/>
      <c r="H384" s="91"/>
      <c r="I384" s="91"/>
      <c r="J384" s="91"/>
      <c r="K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c r="HV384" s="91"/>
      <c r="HW384" s="91"/>
      <c r="HX384" s="91"/>
      <c r="HY384" s="91"/>
      <c r="HZ384" s="91"/>
      <c r="IA384" s="91"/>
      <c r="IB384" s="91"/>
      <c r="IC384" s="91"/>
      <c r="ID384" s="91"/>
      <c r="IE384" s="91"/>
    </row>
    <row r="385" spans="2:239" ht="15" x14ac:dyDescent="0.2">
      <c r="B385" s="91"/>
      <c r="C385" s="91"/>
      <c r="D385" s="91"/>
      <c r="E385" s="227"/>
      <c r="F385" s="91"/>
      <c r="G385" s="91"/>
      <c r="H385" s="91"/>
      <c r="I385" s="91"/>
      <c r="J385" s="91"/>
      <c r="K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c r="GU385" s="91"/>
      <c r="GV385" s="91"/>
      <c r="GW385" s="91"/>
      <c r="GX385" s="91"/>
      <c r="GY385" s="91"/>
      <c r="GZ385" s="91"/>
      <c r="HA385" s="91"/>
      <c r="HB385" s="91"/>
      <c r="HC385" s="91"/>
      <c r="HD385" s="91"/>
      <c r="HE385" s="91"/>
      <c r="HF385" s="91"/>
      <c r="HG385" s="91"/>
      <c r="HH385" s="91"/>
      <c r="HI385" s="91"/>
      <c r="HJ385" s="91"/>
      <c r="HK385" s="91"/>
      <c r="HL385" s="91"/>
      <c r="HM385" s="91"/>
      <c r="HN385" s="91"/>
      <c r="HO385" s="91"/>
      <c r="HP385" s="91"/>
      <c r="HQ385" s="91"/>
      <c r="HR385" s="91"/>
      <c r="HS385" s="91"/>
      <c r="HT385" s="91"/>
      <c r="HU385" s="91"/>
      <c r="HV385" s="91"/>
      <c r="HW385" s="91"/>
      <c r="HX385" s="91"/>
      <c r="HY385" s="91"/>
      <c r="HZ385" s="91"/>
      <c r="IA385" s="91"/>
      <c r="IB385" s="91"/>
      <c r="IC385" s="91"/>
      <c r="ID385" s="91"/>
      <c r="IE385" s="91"/>
    </row>
    <row r="386" spans="2:239" ht="15" x14ac:dyDescent="0.2">
      <c r="B386" s="91"/>
      <c r="C386" s="91"/>
      <c r="D386" s="91"/>
      <c r="E386" s="227"/>
      <c r="F386" s="91"/>
      <c r="G386" s="91"/>
      <c r="H386" s="91"/>
      <c r="I386" s="91"/>
      <c r="J386" s="91"/>
      <c r="K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c r="HV386" s="91"/>
      <c r="HW386" s="91"/>
      <c r="HX386" s="91"/>
      <c r="HY386" s="91"/>
      <c r="HZ386" s="91"/>
      <c r="IA386" s="91"/>
      <c r="IB386" s="91"/>
      <c r="IC386" s="91"/>
      <c r="ID386" s="91"/>
      <c r="IE386" s="91"/>
    </row>
    <row r="387" spans="2:239" ht="15" x14ac:dyDescent="0.2">
      <c r="B387" s="91"/>
      <c r="C387" s="91"/>
      <c r="D387" s="91"/>
      <c r="E387" s="227"/>
      <c r="F387" s="91"/>
      <c r="G387" s="91"/>
      <c r="H387" s="91"/>
      <c r="I387" s="91"/>
      <c r="J387" s="91"/>
      <c r="K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c r="GU387" s="91"/>
      <c r="GV387" s="91"/>
      <c r="GW387" s="91"/>
      <c r="GX387" s="91"/>
      <c r="GY387" s="91"/>
      <c r="GZ387" s="91"/>
      <c r="HA387" s="91"/>
      <c r="HB387" s="91"/>
      <c r="HC387" s="91"/>
      <c r="HD387" s="91"/>
      <c r="HE387" s="91"/>
      <c r="HF387" s="91"/>
      <c r="HG387" s="91"/>
      <c r="HH387" s="91"/>
      <c r="HI387" s="91"/>
      <c r="HJ387" s="91"/>
      <c r="HK387" s="91"/>
      <c r="HL387" s="91"/>
      <c r="HM387" s="91"/>
      <c r="HN387" s="91"/>
      <c r="HO387" s="91"/>
      <c r="HP387" s="91"/>
      <c r="HQ387" s="91"/>
      <c r="HR387" s="91"/>
      <c r="HS387" s="91"/>
      <c r="HT387" s="91"/>
      <c r="HU387" s="91"/>
      <c r="HV387" s="91"/>
      <c r="HW387" s="91"/>
      <c r="HX387" s="91"/>
      <c r="HY387" s="91"/>
      <c r="HZ387" s="91"/>
      <c r="IA387" s="91"/>
      <c r="IB387" s="91"/>
      <c r="IC387" s="91"/>
      <c r="ID387" s="91"/>
      <c r="IE387" s="91"/>
    </row>
    <row r="388" spans="2:239" ht="15" x14ac:dyDescent="0.2">
      <c r="B388" s="91"/>
      <c r="C388" s="91"/>
      <c r="D388" s="91"/>
      <c r="E388" s="227"/>
      <c r="F388" s="91"/>
      <c r="G388" s="91"/>
      <c r="H388" s="91"/>
      <c r="I388" s="91"/>
      <c r="J388" s="91"/>
      <c r="K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c r="HV388" s="91"/>
      <c r="HW388" s="91"/>
      <c r="HX388" s="91"/>
      <c r="HY388" s="91"/>
      <c r="HZ388" s="91"/>
      <c r="IA388" s="91"/>
      <c r="IB388" s="91"/>
      <c r="IC388" s="91"/>
      <c r="ID388" s="91"/>
      <c r="IE388" s="91"/>
    </row>
    <row r="389" spans="2:239" ht="15" x14ac:dyDescent="0.2">
      <c r="B389" s="91"/>
      <c r="C389" s="91"/>
      <c r="D389" s="91"/>
      <c r="E389" s="227"/>
      <c r="F389" s="91"/>
      <c r="G389" s="91"/>
      <c r="H389" s="91"/>
      <c r="I389" s="91"/>
      <c r="J389" s="91"/>
      <c r="K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c r="GU389" s="91"/>
      <c r="GV389" s="91"/>
      <c r="GW389" s="91"/>
      <c r="GX389" s="91"/>
      <c r="GY389" s="91"/>
      <c r="GZ389" s="91"/>
      <c r="HA389" s="91"/>
      <c r="HB389" s="91"/>
      <c r="HC389" s="91"/>
      <c r="HD389" s="91"/>
      <c r="HE389" s="91"/>
      <c r="HF389" s="91"/>
      <c r="HG389" s="91"/>
      <c r="HH389" s="91"/>
      <c r="HI389" s="91"/>
      <c r="HJ389" s="91"/>
      <c r="HK389" s="91"/>
      <c r="HL389" s="91"/>
      <c r="HM389" s="91"/>
      <c r="HN389" s="91"/>
      <c r="HO389" s="91"/>
      <c r="HP389" s="91"/>
      <c r="HQ389" s="91"/>
      <c r="HR389" s="91"/>
      <c r="HS389" s="91"/>
      <c r="HT389" s="91"/>
      <c r="HU389" s="91"/>
      <c r="HV389" s="91"/>
      <c r="HW389" s="91"/>
      <c r="HX389" s="91"/>
      <c r="HY389" s="91"/>
      <c r="HZ389" s="91"/>
      <c r="IA389" s="91"/>
      <c r="IB389" s="91"/>
      <c r="IC389" s="91"/>
      <c r="ID389" s="91"/>
      <c r="IE389" s="91"/>
    </row>
    <row r="390" spans="2:239" ht="15" x14ac:dyDescent="0.2">
      <c r="B390" s="91"/>
      <c r="C390" s="91"/>
      <c r="D390" s="91"/>
      <c r="E390" s="227"/>
      <c r="F390" s="91"/>
      <c r="G390" s="91"/>
      <c r="H390" s="91"/>
      <c r="I390" s="91"/>
      <c r="J390" s="91"/>
      <c r="K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c r="HV390" s="91"/>
      <c r="HW390" s="91"/>
      <c r="HX390" s="91"/>
      <c r="HY390" s="91"/>
      <c r="HZ390" s="91"/>
      <c r="IA390" s="91"/>
      <c r="IB390" s="91"/>
      <c r="IC390" s="91"/>
      <c r="ID390" s="91"/>
      <c r="IE390" s="91"/>
    </row>
    <row r="391" spans="2:239" ht="15" x14ac:dyDescent="0.2">
      <c r="B391" s="91"/>
      <c r="C391" s="91"/>
      <c r="D391" s="91"/>
      <c r="E391" s="227"/>
      <c r="F391" s="91"/>
      <c r="G391" s="91"/>
      <c r="H391" s="91"/>
      <c r="I391" s="91"/>
      <c r="J391" s="91"/>
      <c r="K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c r="GU391" s="91"/>
      <c r="GV391" s="91"/>
      <c r="GW391" s="91"/>
      <c r="GX391" s="91"/>
      <c r="GY391" s="91"/>
      <c r="GZ391" s="91"/>
      <c r="HA391" s="91"/>
      <c r="HB391" s="91"/>
      <c r="HC391" s="91"/>
      <c r="HD391" s="91"/>
      <c r="HE391" s="91"/>
      <c r="HF391" s="91"/>
      <c r="HG391" s="91"/>
      <c r="HH391" s="91"/>
      <c r="HI391" s="91"/>
      <c r="HJ391" s="91"/>
      <c r="HK391" s="91"/>
      <c r="HL391" s="91"/>
      <c r="HM391" s="91"/>
      <c r="HN391" s="91"/>
      <c r="HO391" s="91"/>
      <c r="HP391" s="91"/>
      <c r="HQ391" s="91"/>
      <c r="HR391" s="91"/>
      <c r="HS391" s="91"/>
      <c r="HT391" s="91"/>
      <c r="HU391" s="91"/>
      <c r="HV391" s="91"/>
      <c r="HW391" s="91"/>
      <c r="HX391" s="91"/>
      <c r="HY391" s="91"/>
      <c r="HZ391" s="91"/>
      <c r="IA391" s="91"/>
      <c r="IB391" s="91"/>
      <c r="IC391" s="91"/>
      <c r="ID391" s="91"/>
      <c r="IE391" s="91"/>
    </row>
    <row r="392" spans="2:239" ht="15" x14ac:dyDescent="0.2">
      <c r="B392" s="91"/>
      <c r="C392" s="91"/>
      <c r="D392" s="91"/>
      <c r="E392" s="227"/>
      <c r="F392" s="91"/>
      <c r="G392" s="91"/>
      <c r="H392" s="91"/>
      <c r="I392" s="91"/>
      <c r="J392" s="91"/>
      <c r="K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c r="HV392" s="91"/>
      <c r="HW392" s="91"/>
      <c r="HX392" s="91"/>
      <c r="HY392" s="91"/>
      <c r="HZ392" s="91"/>
      <c r="IA392" s="91"/>
      <c r="IB392" s="91"/>
      <c r="IC392" s="91"/>
      <c r="ID392" s="91"/>
      <c r="IE392" s="91"/>
    </row>
    <row r="393" spans="2:239" ht="15" x14ac:dyDescent="0.2">
      <c r="B393" s="91"/>
      <c r="C393" s="91"/>
      <c r="D393" s="91"/>
      <c r="E393" s="227"/>
      <c r="F393" s="91"/>
      <c r="G393" s="91"/>
      <c r="H393" s="91"/>
      <c r="I393" s="91"/>
      <c r="J393" s="91"/>
      <c r="K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c r="GU393" s="91"/>
      <c r="GV393" s="91"/>
      <c r="GW393" s="91"/>
      <c r="GX393" s="91"/>
      <c r="GY393" s="91"/>
      <c r="GZ393" s="91"/>
      <c r="HA393" s="91"/>
      <c r="HB393" s="91"/>
      <c r="HC393" s="91"/>
      <c r="HD393" s="91"/>
      <c r="HE393" s="91"/>
      <c r="HF393" s="91"/>
      <c r="HG393" s="91"/>
      <c r="HH393" s="91"/>
      <c r="HI393" s="91"/>
      <c r="HJ393" s="91"/>
      <c r="HK393" s="91"/>
      <c r="HL393" s="91"/>
      <c r="HM393" s="91"/>
      <c r="HN393" s="91"/>
      <c r="HO393" s="91"/>
      <c r="HP393" s="91"/>
      <c r="HQ393" s="91"/>
      <c r="HR393" s="91"/>
      <c r="HS393" s="91"/>
      <c r="HT393" s="91"/>
      <c r="HU393" s="91"/>
      <c r="HV393" s="91"/>
      <c r="HW393" s="91"/>
      <c r="HX393" s="91"/>
      <c r="HY393" s="91"/>
      <c r="HZ393" s="91"/>
      <c r="IA393" s="91"/>
      <c r="IB393" s="91"/>
      <c r="IC393" s="91"/>
      <c r="ID393" s="91"/>
      <c r="IE393" s="91"/>
    </row>
    <row r="394" spans="2:239" ht="15" x14ac:dyDescent="0.2">
      <c r="B394" s="91"/>
      <c r="C394" s="91"/>
      <c r="D394" s="91"/>
      <c r="E394" s="227"/>
      <c r="F394" s="91"/>
      <c r="G394" s="91"/>
      <c r="H394" s="91"/>
      <c r="I394" s="91"/>
      <c r="J394" s="91"/>
      <c r="K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c r="HV394" s="91"/>
      <c r="HW394" s="91"/>
      <c r="HX394" s="91"/>
      <c r="HY394" s="91"/>
      <c r="HZ394" s="91"/>
      <c r="IA394" s="91"/>
      <c r="IB394" s="91"/>
      <c r="IC394" s="91"/>
      <c r="ID394" s="91"/>
      <c r="IE394" s="91"/>
    </row>
    <row r="395" spans="2:239" ht="15" x14ac:dyDescent="0.2">
      <c r="B395" s="91"/>
      <c r="C395" s="91"/>
      <c r="D395" s="91"/>
      <c r="E395" s="227"/>
      <c r="F395" s="91"/>
      <c r="G395" s="91"/>
      <c r="H395" s="91"/>
      <c r="I395" s="91"/>
      <c r="J395" s="91"/>
      <c r="K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c r="GU395" s="91"/>
      <c r="GV395" s="91"/>
      <c r="GW395" s="91"/>
      <c r="GX395" s="91"/>
      <c r="GY395" s="91"/>
      <c r="GZ395" s="91"/>
      <c r="HA395" s="91"/>
      <c r="HB395" s="91"/>
      <c r="HC395" s="91"/>
      <c r="HD395" s="91"/>
      <c r="HE395" s="91"/>
      <c r="HF395" s="91"/>
      <c r="HG395" s="91"/>
      <c r="HH395" s="91"/>
      <c r="HI395" s="91"/>
      <c r="HJ395" s="91"/>
      <c r="HK395" s="91"/>
      <c r="HL395" s="91"/>
      <c r="HM395" s="91"/>
      <c r="HN395" s="91"/>
      <c r="HO395" s="91"/>
      <c r="HP395" s="91"/>
      <c r="HQ395" s="91"/>
      <c r="HR395" s="91"/>
      <c r="HS395" s="91"/>
      <c r="HT395" s="91"/>
      <c r="HU395" s="91"/>
      <c r="HV395" s="91"/>
      <c r="HW395" s="91"/>
      <c r="HX395" s="91"/>
      <c r="HY395" s="91"/>
      <c r="HZ395" s="91"/>
      <c r="IA395" s="91"/>
      <c r="IB395" s="91"/>
      <c r="IC395" s="91"/>
      <c r="ID395" s="91"/>
      <c r="IE395" s="91"/>
    </row>
    <row r="396" spans="2:239" ht="15" x14ac:dyDescent="0.2">
      <c r="B396" s="91"/>
      <c r="C396" s="91"/>
      <c r="D396" s="91"/>
      <c r="E396" s="227"/>
      <c r="F396" s="91"/>
      <c r="G396" s="91"/>
      <c r="H396" s="91"/>
      <c r="I396" s="91"/>
      <c r="J396" s="91"/>
      <c r="K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c r="HV396" s="91"/>
      <c r="HW396" s="91"/>
      <c r="HX396" s="91"/>
      <c r="HY396" s="91"/>
      <c r="HZ396" s="91"/>
      <c r="IA396" s="91"/>
      <c r="IB396" s="91"/>
      <c r="IC396" s="91"/>
      <c r="ID396" s="91"/>
      <c r="IE396" s="91"/>
    </row>
    <row r="397" spans="2:239" ht="15" x14ac:dyDescent="0.2">
      <c r="B397" s="91"/>
      <c r="C397" s="91"/>
      <c r="D397" s="91"/>
      <c r="E397" s="227"/>
      <c r="F397" s="91"/>
      <c r="G397" s="91"/>
      <c r="H397" s="91"/>
      <c r="I397" s="91"/>
      <c r="J397" s="91"/>
      <c r="K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c r="GU397" s="91"/>
      <c r="GV397" s="91"/>
      <c r="GW397" s="91"/>
      <c r="GX397" s="91"/>
      <c r="GY397" s="91"/>
      <c r="GZ397" s="91"/>
      <c r="HA397" s="91"/>
      <c r="HB397" s="91"/>
      <c r="HC397" s="91"/>
      <c r="HD397" s="91"/>
      <c r="HE397" s="91"/>
      <c r="HF397" s="91"/>
      <c r="HG397" s="91"/>
      <c r="HH397" s="91"/>
      <c r="HI397" s="91"/>
      <c r="HJ397" s="91"/>
      <c r="HK397" s="91"/>
      <c r="HL397" s="91"/>
      <c r="HM397" s="91"/>
      <c r="HN397" s="91"/>
      <c r="HO397" s="91"/>
      <c r="HP397" s="91"/>
      <c r="HQ397" s="91"/>
      <c r="HR397" s="91"/>
      <c r="HS397" s="91"/>
      <c r="HT397" s="91"/>
      <c r="HU397" s="91"/>
      <c r="HV397" s="91"/>
      <c r="HW397" s="91"/>
      <c r="HX397" s="91"/>
      <c r="HY397" s="91"/>
      <c r="HZ397" s="91"/>
      <c r="IA397" s="91"/>
      <c r="IB397" s="91"/>
      <c r="IC397" s="91"/>
      <c r="ID397" s="91"/>
      <c r="IE397" s="91"/>
    </row>
    <row r="398" spans="2:239" ht="15" x14ac:dyDescent="0.2">
      <c r="B398" s="91"/>
      <c r="C398" s="91"/>
      <c r="D398" s="91"/>
      <c r="E398" s="227"/>
      <c r="F398" s="91"/>
      <c r="G398" s="91"/>
      <c r="H398" s="91"/>
      <c r="I398" s="91"/>
      <c r="J398" s="91"/>
      <c r="K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c r="HV398" s="91"/>
      <c r="HW398" s="91"/>
      <c r="HX398" s="91"/>
      <c r="HY398" s="91"/>
      <c r="HZ398" s="91"/>
      <c r="IA398" s="91"/>
      <c r="IB398" s="91"/>
      <c r="IC398" s="91"/>
      <c r="ID398" s="91"/>
      <c r="IE398" s="91"/>
    </row>
    <row r="399" spans="2:239" ht="15" x14ac:dyDescent="0.2">
      <c r="B399" s="91"/>
      <c r="C399" s="91"/>
      <c r="D399" s="91"/>
      <c r="E399" s="227"/>
      <c r="F399" s="91"/>
      <c r="G399" s="91"/>
      <c r="H399" s="91"/>
      <c r="I399" s="91"/>
      <c r="J399" s="91"/>
      <c r="K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c r="GU399" s="91"/>
      <c r="GV399" s="91"/>
      <c r="GW399" s="91"/>
      <c r="GX399" s="91"/>
      <c r="GY399" s="91"/>
      <c r="GZ399" s="91"/>
      <c r="HA399" s="91"/>
      <c r="HB399" s="91"/>
      <c r="HC399" s="91"/>
      <c r="HD399" s="91"/>
      <c r="HE399" s="91"/>
      <c r="HF399" s="91"/>
      <c r="HG399" s="91"/>
      <c r="HH399" s="91"/>
      <c r="HI399" s="91"/>
      <c r="HJ399" s="91"/>
      <c r="HK399" s="91"/>
      <c r="HL399" s="91"/>
      <c r="HM399" s="91"/>
      <c r="HN399" s="91"/>
      <c r="HO399" s="91"/>
      <c r="HP399" s="91"/>
      <c r="HQ399" s="91"/>
      <c r="HR399" s="91"/>
      <c r="HS399" s="91"/>
      <c r="HT399" s="91"/>
      <c r="HU399" s="91"/>
      <c r="HV399" s="91"/>
      <c r="HW399" s="91"/>
      <c r="HX399" s="91"/>
      <c r="HY399" s="91"/>
      <c r="HZ399" s="91"/>
      <c r="IA399" s="91"/>
      <c r="IB399" s="91"/>
      <c r="IC399" s="91"/>
      <c r="ID399" s="91"/>
      <c r="IE399" s="91"/>
    </row>
    <row r="400" spans="2:239" ht="15" x14ac:dyDescent="0.2">
      <c r="B400" s="91"/>
      <c r="C400" s="91"/>
      <c r="D400" s="91"/>
      <c r="E400" s="227"/>
      <c r="F400" s="91"/>
      <c r="G400" s="91"/>
      <c r="H400" s="91"/>
      <c r="I400" s="91"/>
      <c r="J400" s="91"/>
      <c r="K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c r="GU400" s="91"/>
      <c r="GV400" s="91"/>
      <c r="GW400" s="91"/>
      <c r="GX400" s="91"/>
      <c r="GY400" s="91"/>
      <c r="GZ400" s="91"/>
      <c r="HA400" s="91"/>
      <c r="HB400" s="91"/>
      <c r="HC400" s="91"/>
      <c r="HD400" s="91"/>
      <c r="HE400" s="91"/>
      <c r="HF400" s="91"/>
      <c r="HG400" s="91"/>
      <c r="HH400" s="91"/>
      <c r="HI400" s="91"/>
      <c r="HJ400" s="91"/>
      <c r="HK400" s="91"/>
      <c r="HL400" s="91"/>
      <c r="HM400" s="91"/>
      <c r="HN400" s="91"/>
      <c r="HO400" s="91"/>
      <c r="HP400" s="91"/>
      <c r="HQ400" s="91"/>
      <c r="HR400" s="91"/>
      <c r="HS400" s="91"/>
      <c r="HT400" s="91"/>
      <c r="HU400" s="91"/>
      <c r="HV400" s="91"/>
      <c r="HW400" s="91"/>
      <c r="HX400" s="91"/>
      <c r="HY400" s="91"/>
      <c r="HZ400" s="91"/>
      <c r="IA400" s="91"/>
      <c r="IB400" s="91"/>
      <c r="IC400" s="91"/>
      <c r="ID400" s="91"/>
      <c r="IE400" s="91"/>
    </row>
    <row r="401" spans="2:239" ht="15" x14ac:dyDescent="0.2">
      <c r="B401" s="91"/>
      <c r="C401" s="91"/>
      <c r="D401" s="91"/>
      <c r="E401" s="227"/>
      <c r="F401" s="91"/>
      <c r="G401" s="91"/>
      <c r="H401" s="91"/>
      <c r="I401" s="91"/>
      <c r="J401" s="91"/>
      <c r="K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c r="GU401" s="91"/>
      <c r="GV401" s="91"/>
      <c r="GW401" s="91"/>
      <c r="GX401" s="91"/>
      <c r="GY401" s="91"/>
      <c r="GZ401" s="91"/>
      <c r="HA401" s="91"/>
      <c r="HB401" s="91"/>
      <c r="HC401" s="91"/>
      <c r="HD401" s="91"/>
      <c r="HE401" s="91"/>
      <c r="HF401" s="91"/>
      <c r="HG401" s="91"/>
      <c r="HH401" s="91"/>
      <c r="HI401" s="91"/>
      <c r="HJ401" s="91"/>
      <c r="HK401" s="91"/>
      <c r="HL401" s="91"/>
      <c r="HM401" s="91"/>
      <c r="HN401" s="91"/>
      <c r="HO401" s="91"/>
      <c r="HP401" s="91"/>
      <c r="HQ401" s="91"/>
      <c r="HR401" s="91"/>
      <c r="HS401" s="91"/>
      <c r="HT401" s="91"/>
      <c r="HU401" s="91"/>
      <c r="HV401" s="91"/>
      <c r="HW401" s="91"/>
      <c r="HX401" s="91"/>
      <c r="HY401" s="91"/>
      <c r="HZ401" s="91"/>
      <c r="IA401" s="91"/>
      <c r="IB401" s="91"/>
      <c r="IC401" s="91"/>
      <c r="ID401" s="91"/>
      <c r="IE401" s="91"/>
    </row>
    <row r="402" spans="2:239" ht="15" x14ac:dyDescent="0.2">
      <c r="B402" s="91"/>
      <c r="C402" s="91"/>
      <c r="D402" s="91"/>
      <c r="E402" s="227"/>
      <c r="F402" s="91"/>
      <c r="G402" s="91"/>
      <c r="H402" s="91"/>
      <c r="I402" s="91"/>
      <c r="J402" s="91"/>
      <c r="K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c r="HV402" s="91"/>
      <c r="HW402" s="91"/>
      <c r="HX402" s="91"/>
      <c r="HY402" s="91"/>
      <c r="HZ402" s="91"/>
      <c r="IA402" s="91"/>
      <c r="IB402" s="91"/>
      <c r="IC402" s="91"/>
      <c r="ID402" s="91"/>
      <c r="IE402" s="91"/>
    </row>
    <row r="403" spans="2:239" ht="15" x14ac:dyDescent="0.2">
      <c r="B403" s="91"/>
      <c r="C403" s="91"/>
      <c r="D403" s="91"/>
      <c r="E403" s="227"/>
      <c r="F403" s="91"/>
      <c r="G403" s="91"/>
      <c r="H403" s="91"/>
      <c r="I403" s="91"/>
      <c r="J403" s="91"/>
      <c r="K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c r="GU403" s="91"/>
      <c r="GV403" s="91"/>
      <c r="GW403" s="91"/>
      <c r="GX403" s="91"/>
      <c r="GY403" s="91"/>
      <c r="GZ403" s="91"/>
      <c r="HA403" s="91"/>
      <c r="HB403" s="91"/>
      <c r="HC403" s="91"/>
      <c r="HD403" s="91"/>
      <c r="HE403" s="91"/>
      <c r="HF403" s="91"/>
      <c r="HG403" s="91"/>
      <c r="HH403" s="91"/>
      <c r="HI403" s="91"/>
      <c r="HJ403" s="91"/>
      <c r="HK403" s="91"/>
      <c r="HL403" s="91"/>
      <c r="HM403" s="91"/>
      <c r="HN403" s="91"/>
      <c r="HO403" s="91"/>
      <c r="HP403" s="91"/>
      <c r="HQ403" s="91"/>
      <c r="HR403" s="91"/>
      <c r="HS403" s="91"/>
      <c r="HT403" s="91"/>
      <c r="HU403" s="91"/>
      <c r="HV403" s="91"/>
      <c r="HW403" s="91"/>
      <c r="HX403" s="91"/>
      <c r="HY403" s="91"/>
      <c r="HZ403" s="91"/>
      <c r="IA403" s="91"/>
      <c r="IB403" s="91"/>
      <c r="IC403" s="91"/>
      <c r="ID403" s="91"/>
      <c r="IE403" s="91"/>
    </row>
    <row r="404" spans="2:239" ht="15" x14ac:dyDescent="0.2">
      <c r="B404" s="91"/>
      <c r="C404" s="91"/>
      <c r="D404" s="91"/>
      <c r="E404" s="227"/>
      <c r="F404" s="91"/>
      <c r="G404" s="91"/>
      <c r="H404" s="91"/>
      <c r="I404" s="91"/>
      <c r="J404" s="91"/>
      <c r="K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c r="GU404" s="91"/>
      <c r="GV404" s="91"/>
      <c r="GW404" s="91"/>
      <c r="GX404" s="91"/>
      <c r="GY404" s="91"/>
      <c r="GZ404" s="91"/>
      <c r="HA404" s="91"/>
      <c r="HB404" s="91"/>
      <c r="HC404" s="91"/>
      <c r="HD404" s="91"/>
      <c r="HE404" s="91"/>
      <c r="HF404" s="91"/>
      <c r="HG404" s="91"/>
      <c r="HH404" s="91"/>
      <c r="HI404" s="91"/>
      <c r="HJ404" s="91"/>
      <c r="HK404" s="91"/>
      <c r="HL404" s="91"/>
      <c r="HM404" s="91"/>
      <c r="HN404" s="91"/>
      <c r="HO404" s="91"/>
      <c r="HP404" s="91"/>
      <c r="HQ404" s="91"/>
      <c r="HR404" s="91"/>
      <c r="HS404" s="91"/>
      <c r="HT404" s="91"/>
      <c r="HU404" s="91"/>
      <c r="HV404" s="91"/>
      <c r="HW404" s="91"/>
      <c r="HX404" s="91"/>
      <c r="HY404" s="91"/>
      <c r="HZ404" s="91"/>
      <c r="IA404" s="91"/>
      <c r="IB404" s="91"/>
      <c r="IC404" s="91"/>
      <c r="ID404" s="91"/>
      <c r="IE404" s="91"/>
    </row>
    <row r="405" spans="2:239" ht="15" x14ac:dyDescent="0.2">
      <c r="B405" s="91"/>
      <c r="C405" s="91"/>
      <c r="D405" s="91"/>
      <c r="E405" s="227"/>
      <c r="F405" s="91"/>
      <c r="G405" s="91"/>
      <c r="H405" s="91"/>
      <c r="I405" s="91"/>
      <c r="J405" s="91"/>
      <c r="K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c r="GU405" s="91"/>
      <c r="GV405" s="91"/>
      <c r="GW405" s="91"/>
      <c r="GX405" s="91"/>
      <c r="GY405" s="91"/>
      <c r="GZ405" s="91"/>
      <c r="HA405" s="91"/>
      <c r="HB405" s="91"/>
      <c r="HC405" s="91"/>
      <c r="HD405" s="91"/>
      <c r="HE405" s="91"/>
      <c r="HF405" s="91"/>
      <c r="HG405" s="91"/>
      <c r="HH405" s="91"/>
      <c r="HI405" s="91"/>
      <c r="HJ405" s="91"/>
      <c r="HK405" s="91"/>
      <c r="HL405" s="91"/>
      <c r="HM405" s="91"/>
      <c r="HN405" s="91"/>
      <c r="HO405" s="91"/>
      <c r="HP405" s="91"/>
      <c r="HQ405" s="91"/>
      <c r="HR405" s="91"/>
      <c r="HS405" s="91"/>
      <c r="HT405" s="91"/>
      <c r="HU405" s="91"/>
      <c r="HV405" s="91"/>
      <c r="HW405" s="91"/>
      <c r="HX405" s="91"/>
      <c r="HY405" s="91"/>
      <c r="HZ405" s="91"/>
      <c r="IA405" s="91"/>
      <c r="IB405" s="91"/>
      <c r="IC405" s="91"/>
      <c r="ID405" s="91"/>
      <c r="IE405" s="91"/>
    </row>
    <row r="406" spans="2:239" ht="15" x14ac:dyDescent="0.2">
      <c r="B406" s="91"/>
      <c r="C406" s="91"/>
      <c r="D406" s="91"/>
      <c r="E406" s="227"/>
      <c r="F406" s="91"/>
      <c r="G406" s="91"/>
      <c r="H406" s="91"/>
      <c r="I406" s="91"/>
      <c r="J406" s="91"/>
      <c r="K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c r="HV406" s="91"/>
      <c r="HW406" s="91"/>
      <c r="HX406" s="91"/>
      <c r="HY406" s="91"/>
      <c r="HZ406" s="91"/>
      <c r="IA406" s="91"/>
      <c r="IB406" s="91"/>
      <c r="IC406" s="91"/>
      <c r="ID406" s="91"/>
      <c r="IE406" s="91"/>
    </row>
    <row r="407" spans="2:239" ht="15" x14ac:dyDescent="0.2">
      <c r="B407" s="91"/>
      <c r="C407" s="91"/>
      <c r="D407" s="91"/>
      <c r="E407" s="227"/>
      <c r="F407" s="91"/>
      <c r="G407" s="91"/>
      <c r="H407" s="91"/>
      <c r="I407" s="91"/>
      <c r="J407" s="91"/>
      <c r="K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c r="HV407" s="91"/>
      <c r="HW407" s="91"/>
      <c r="HX407" s="91"/>
      <c r="HY407" s="91"/>
      <c r="HZ407" s="91"/>
      <c r="IA407" s="91"/>
      <c r="IB407" s="91"/>
      <c r="IC407" s="91"/>
      <c r="ID407" s="91"/>
      <c r="IE407" s="91"/>
    </row>
    <row r="408" spans="2:239" ht="15" x14ac:dyDescent="0.2">
      <c r="B408" s="91"/>
      <c r="C408" s="91"/>
      <c r="D408" s="91"/>
      <c r="E408" s="227"/>
      <c r="F408" s="91"/>
      <c r="G408" s="91"/>
      <c r="H408" s="91"/>
      <c r="I408" s="91"/>
      <c r="J408" s="91"/>
      <c r="K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c r="GU408" s="91"/>
      <c r="GV408" s="91"/>
      <c r="GW408" s="91"/>
      <c r="GX408" s="91"/>
      <c r="GY408" s="91"/>
      <c r="GZ408" s="91"/>
      <c r="HA408" s="91"/>
      <c r="HB408" s="91"/>
      <c r="HC408" s="91"/>
      <c r="HD408" s="91"/>
      <c r="HE408" s="91"/>
      <c r="HF408" s="91"/>
      <c r="HG408" s="91"/>
      <c r="HH408" s="91"/>
      <c r="HI408" s="91"/>
      <c r="HJ408" s="91"/>
      <c r="HK408" s="91"/>
      <c r="HL408" s="91"/>
      <c r="HM408" s="91"/>
      <c r="HN408" s="91"/>
      <c r="HO408" s="91"/>
      <c r="HP408" s="91"/>
      <c r="HQ408" s="91"/>
      <c r="HR408" s="91"/>
      <c r="HS408" s="91"/>
      <c r="HT408" s="91"/>
      <c r="HU408" s="91"/>
      <c r="HV408" s="91"/>
      <c r="HW408" s="91"/>
      <c r="HX408" s="91"/>
      <c r="HY408" s="91"/>
      <c r="HZ408" s="91"/>
      <c r="IA408" s="91"/>
      <c r="IB408" s="91"/>
      <c r="IC408" s="91"/>
      <c r="ID408" s="91"/>
      <c r="IE408" s="91"/>
    </row>
    <row r="409" spans="2:239" ht="15" x14ac:dyDescent="0.2">
      <c r="B409" s="91"/>
      <c r="C409" s="91"/>
      <c r="D409" s="91"/>
      <c r="E409" s="227"/>
      <c r="F409" s="91"/>
      <c r="G409" s="91"/>
      <c r="H409" s="91"/>
      <c r="I409" s="91"/>
      <c r="J409" s="91"/>
      <c r="K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c r="GU409" s="91"/>
      <c r="GV409" s="91"/>
      <c r="GW409" s="91"/>
      <c r="GX409" s="91"/>
      <c r="GY409" s="91"/>
      <c r="GZ409" s="91"/>
      <c r="HA409" s="91"/>
      <c r="HB409" s="91"/>
      <c r="HC409" s="91"/>
      <c r="HD409" s="91"/>
      <c r="HE409" s="91"/>
      <c r="HF409" s="91"/>
      <c r="HG409" s="91"/>
      <c r="HH409" s="91"/>
      <c r="HI409" s="91"/>
      <c r="HJ409" s="91"/>
      <c r="HK409" s="91"/>
      <c r="HL409" s="91"/>
      <c r="HM409" s="91"/>
      <c r="HN409" s="91"/>
      <c r="HO409" s="91"/>
      <c r="HP409" s="91"/>
      <c r="HQ409" s="91"/>
      <c r="HR409" s="91"/>
      <c r="HS409" s="91"/>
      <c r="HT409" s="91"/>
      <c r="HU409" s="91"/>
      <c r="HV409" s="91"/>
      <c r="HW409" s="91"/>
      <c r="HX409" s="91"/>
      <c r="HY409" s="91"/>
      <c r="HZ409" s="91"/>
      <c r="IA409" s="91"/>
      <c r="IB409" s="91"/>
      <c r="IC409" s="91"/>
      <c r="ID409" s="91"/>
      <c r="IE409" s="91"/>
    </row>
    <row r="410" spans="2:239" ht="15" x14ac:dyDescent="0.2">
      <c r="B410" s="91"/>
      <c r="C410" s="91"/>
      <c r="D410" s="91"/>
      <c r="E410" s="227"/>
      <c r="F410" s="91"/>
      <c r="G410" s="91"/>
      <c r="H410" s="91"/>
      <c r="I410" s="91"/>
      <c r="J410" s="91"/>
      <c r="K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c r="HV410" s="91"/>
      <c r="HW410" s="91"/>
      <c r="HX410" s="91"/>
      <c r="HY410" s="91"/>
      <c r="HZ410" s="91"/>
      <c r="IA410" s="91"/>
      <c r="IB410" s="91"/>
      <c r="IC410" s="91"/>
      <c r="ID410" s="91"/>
      <c r="IE410" s="91"/>
    </row>
    <row r="411" spans="2:239" ht="15" x14ac:dyDescent="0.2">
      <c r="B411" s="91"/>
      <c r="C411" s="91"/>
      <c r="D411" s="91"/>
      <c r="E411" s="227"/>
      <c r="F411" s="91"/>
      <c r="G411" s="91"/>
      <c r="H411" s="91"/>
      <c r="I411" s="91"/>
      <c r="J411" s="91"/>
      <c r="K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c r="GU411" s="91"/>
      <c r="GV411" s="91"/>
      <c r="GW411" s="91"/>
      <c r="GX411" s="91"/>
      <c r="GY411" s="91"/>
      <c r="GZ411" s="91"/>
      <c r="HA411" s="91"/>
      <c r="HB411" s="91"/>
      <c r="HC411" s="91"/>
      <c r="HD411" s="91"/>
      <c r="HE411" s="91"/>
      <c r="HF411" s="91"/>
      <c r="HG411" s="91"/>
      <c r="HH411" s="91"/>
      <c r="HI411" s="91"/>
      <c r="HJ411" s="91"/>
      <c r="HK411" s="91"/>
      <c r="HL411" s="91"/>
      <c r="HM411" s="91"/>
      <c r="HN411" s="91"/>
      <c r="HO411" s="91"/>
      <c r="HP411" s="91"/>
      <c r="HQ411" s="91"/>
      <c r="HR411" s="91"/>
      <c r="HS411" s="91"/>
      <c r="HT411" s="91"/>
      <c r="HU411" s="91"/>
      <c r="HV411" s="91"/>
      <c r="HW411" s="91"/>
      <c r="HX411" s="91"/>
      <c r="HY411" s="91"/>
      <c r="HZ411" s="91"/>
      <c r="IA411" s="91"/>
      <c r="IB411" s="91"/>
      <c r="IC411" s="91"/>
      <c r="ID411" s="91"/>
      <c r="IE411" s="91"/>
    </row>
    <row r="412" spans="2:239" ht="15" x14ac:dyDescent="0.2">
      <c r="B412" s="91"/>
      <c r="C412" s="91"/>
      <c r="D412" s="91"/>
      <c r="E412" s="227"/>
      <c r="F412" s="91"/>
      <c r="G412" s="91"/>
      <c r="H412" s="91"/>
      <c r="I412" s="91"/>
      <c r="J412" s="91"/>
      <c r="K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c r="HV412" s="91"/>
      <c r="HW412" s="91"/>
      <c r="HX412" s="91"/>
      <c r="HY412" s="91"/>
      <c r="HZ412" s="91"/>
      <c r="IA412" s="91"/>
      <c r="IB412" s="91"/>
      <c r="IC412" s="91"/>
      <c r="ID412" s="91"/>
      <c r="IE412" s="91"/>
    </row>
    <row r="413" spans="2:239" ht="15" x14ac:dyDescent="0.2">
      <c r="B413" s="91"/>
      <c r="C413" s="91"/>
      <c r="D413" s="91"/>
      <c r="E413" s="227"/>
      <c r="F413" s="91"/>
      <c r="G413" s="91"/>
      <c r="H413" s="91"/>
      <c r="I413" s="91"/>
      <c r="J413" s="91"/>
      <c r="K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c r="HV413" s="91"/>
      <c r="HW413" s="91"/>
      <c r="HX413" s="91"/>
      <c r="HY413" s="91"/>
      <c r="HZ413" s="91"/>
      <c r="IA413" s="91"/>
      <c r="IB413" s="91"/>
      <c r="IC413" s="91"/>
      <c r="ID413" s="91"/>
      <c r="IE413" s="91"/>
    </row>
    <row r="414" spans="2:239" ht="15" x14ac:dyDescent="0.2">
      <c r="B414" s="91"/>
      <c r="C414" s="91"/>
      <c r="D414" s="91"/>
      <c r="E414" s="227"/>
      <c r="F414" s="91"/>
      <c r="G414" s="91"/>
      <c r="H414" s="91"/>
      <c r="I414" s="91"/>
      <c r="J414" s="91"/>
      <c r="K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c r="GU414" s="91"/>
      <c r="GV414" s="91"/>
      <c r="GW414" s="91"/>
      <c r="GX414" s="91"/>
      <c r="GY414" s="91"/>
      <c r="GZ414" s="91"/>
      <c r="HA414" s="91"/>
      <c r="HB414" s="91"/>
      <c r="HC414" s="91"/>
      <c r="HD414" s="91"/>
      <c r="HE414" s="91"/>
      <c r="HF414" s="91"/>
      <c r="HG414" s="91"/>
      <c r="HH414" s="91"/>
      <c r="HI414" s="91"/>
      <c r="HJ414" s="91"/>
      <c r="HK414" s="91"/>
      <c r="HL414" s="91"/>
      <c r="HM414" s="91"/>
      <c r="HN414" s="91"/>
      <c r="HO414" s="91"/>
      <c r="HP414" s="91"/>
      <c r="HQ414" s="91"/>
      <c r="HR414" s="91"/>
      <c r="HS414" s="91"/>
      <c r="HT414" s="91"/>
      <c r="HU414" s="91"/>
      <c r="HV414" s="91"/>
      <c r="HW414" s="91"/>
      <c r="HX414" s="91"/>
      <c r="HY414" s="91"/>
      <c r="HZ414" s="91"/>
      <c r="IA414" s="91"/>
      <c r="IB414" s="91"/>
      <c r="IC414" s="91"/>
      <c r="ID414" s="91"/>
      <c r="IE414" s="91"/>
    </row>
    <row r="415" spans="2:239" ht="15" x14ac:dyDescent="0.2">
      <c r="B415" s="91"/>
      <c r="C415" s="91"/>
      <c r="D415" s="91"/>
      <c r="E415" s="227"/>
      <c r="F415" s="91"/>
      <c r="G415" s="91"/>
      <c r="H415" s="91"/>
      <c r="I415" s="91"/>
      <c r="J415" s="91"/>
      <c r="K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c r="GU415" s="91"/>
      <c r="GV415" s="91"/>
      <c r="GW415" s="91"/>
      <c r="GX415" s="91"/>
      <c r="GY415" s="91"/>
      <c r="GZ415" s="91"/>
      <c r="HA415" s="91"/>
      <c r="HB415" s="91"/>
      <c r="HC415" s="91"/>
      <c r="HD415" s="91"/>
      <c r="HE415" s="91"/>
      <c r="HF415" s="91"/>
      <c r="HG415" s="91"/>
      <c r="HH415" s="91"/>
      <c r="HI415" s="91"/>
      <c r="HJ415" s="91"/>
      <c r="HK415" s="91"/>
      <c r="HL415" s="91"/>
      <c r="HM415" s="91"/>
      <c r="HN415" s="91"/>
      <c r="HO415" s="91"/>
      <c r="HP415" s="91"/>
      <c r="HQ415" s="91"/>
      <c r="HR415" s="91"/>
      <c r="HS415" s="91"/>
      <c r="HT415" s="91"/>
      <c r="HU415" s="91"/>
      <c r="HV415" s="91"/>
      <c r="HW415" s="91"/>
      <c r="HX415" s="91"/>
      <c r="HY415" s="91"/>
      <c r="HZ415" s="91"/>
      <c r="IA415" s="91"/>
      <c r="IB415" s="91"/>
      <c r="IC415" s="91"/>
      <c r="ID415" s="91"/>
      <c r="IE415" s="91"/>
    </row>
    <row r="416" spans="2:239" ht="15" x14ac:dyDescent="0.2">
      <c r="B416" s="91"/>
      <c r="C416" s="91"/>
      <c r="D416" s="91"/>
      <c r="E416" s="227"/>
      <c r="F416" s="91"/>
      <c r="G416" s="91"/>
      <c r="H416" s="91"/>
      <c r="I416" s="91"/>
      <c r="J416" s="91"/>
      <c r="K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c r="HV416" s="91"/>
      <c r="HW416" s="91"/>
      <c r="HX416" s="91"/>
      <c r="HY416" s="91"/>
      <c r="HZ416" s="91"/>
      <c r="IA416" s="91"/>
      <c r="IB416" s="91"/>
      <c r="IC416" s="91"/>
      <c r="ID416" s="91"/>
      <c r="IE416" s="91"/>
    </row>
    <row r="417" spans="2:239" ht="15" x14ac:dyDescent="0.2">
      <c r="B417" s="91"/>
      <c r="C417" s="91"/>
      <c r="D417" s="91"/>
      <c r="E417" s="227"/>
      <c r="F417" s="91"/>
      <c r="G417" s="91"/>
      <c r="H417" s="91"/>
      <c r="I417" s="91"/>
      <c r="J417" s="91"/>
      <c r="K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c r="GU417" s="91"/>
      <c r="GV417" s="91"/>
      <c r="GW417" s="91"/>
      <c r="GX417" s="91"/>
      <c r="GY417" s="91"/>
      <c r="GZ417" s="91"/>
      <c r="HA417" s="91"/>
      <c r="HB417" s="91"/>
      <c r="HC417" s="91"/>
      <c r="HD417" s="91"/>
      <c r="HE417" s="91"/>
      <c r="HF417" s="91"/>
      <c r="HG417" s="91"/>
      <c r="HH417" s="91"/>
      <c r="HI417" s="91"/>
      <c r="HJ417" s="91"/>
      <c r="HK417" s="91"/>
      <c r="HL417" s="91"/>
      <c r="HM417" s="91"/>
      <c r="HN417" s="91"/>
      <c r="HO417" s="91"/>
      <c r="HP417" s="91"/>
      <c r="HQ417" s="91"/>
      <c r="HR417" s="91"/>
      <c r="HS417" s="91"/>
      <c r="HT417" s="91"/>
      <c r="HU417" s="91"/>
      <c r="HV417" s="91"/>
      <c r="HW417" s="91"/>
      <c r="HX417" s="91"/>
      <c r="HY417" s="91"/>
      <c r="HZ417" s="91"/>
      <c r="IA417" s="91"/>
      <c r="IB417" s="91"/>
      <c r="IC417" s="91"/>
      <c r="ID417" s="91"/>
      <c r="IE417" s="91"/>
    </row>
    <row r="418" spans="2:239" ht="15" x14ac:dyDescent="0.2">
      <c r="B418" s="91"/>
      <c r="C418" s="91"/>
      <c r="D418" s="91"/>
      <c r="E418" s="227"/>
      <c r="F418" s="91"/>
      <c r="G418" s="91"/>
      <c r="H418" s="91"/>
      <c r="I418" s="91"/>
      <c r="J418" s="91"/>
      <c r="K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c r="HV418" s="91"/>
      <c r="HW418" s="91"/>
      <c r="HX418" s="91"/>
      <c r="HY418" s="91"/>
      <c r="HZ418" s="91"/>
      <c r="IA418" s="91"/>
      <c r="IB418" s="91"/>
      <c r="IC418" s="91"/>
      <c r="ID418" s="91"/>
      <c r="IE418" s="91"/>
    </row>
    <row r="419" spans="2:239" ht="15" x14ac:dyDescent="0.2">
      <c r="B419" s="91"/>
      <c r="C419" s="91"/>
      <c r="D419" s="91"/>
      <c r="E419" s="227"/>
      <c r="F419" s="91"/>
      <c r="G419" s="91"/>
      <c r="H419" s="91"/>
      <c r="I419" s="91"/>
      <c r="J419" s="91"/>
      <c r="K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c r="GU419" s="91"/>
      <c r="GV419" s="91"/>
      <c r="GW419" s="91"/>
      <c r="GX419" s="91"/>
      <c r="GY419" s="91"/>
      <c r="GZ419" s="91"/>
      <c r="HA419" s="91"/>
      <c r="HB419" s="91"/>
      <c r="HC419" s="91"/>
      <c r="HD419" s="91"/>
      <c r="HE419" s="91"/>
      <c r="HF419" s="91"/>
      <c r="HG419" s="91"/>
      <c r="HH419" s="91"/>
      <c r="HI419" s="91"/>
      <c r="HJ419" s="91"/>
      <c r="HK419" s="91"/>
      <c r="HL419" s="91"/>
      <c r="HM419" s="91"/>
      <c r="HN419" s="91"/>
      <c r="HO419" s="91"/>
      <c r="HP419" s="91"/>
      <c r="HQ419" s="91"/>
      <c r="HR419" s="91"/>
      <c r="HS419" s="91"/>
      <c r="HT419" s="91"/>
      <c r="HU419" s="91"/>
      <c r="HV419" s="91"/>
      <c r="HW419" s="91"/>
      <c r="HX419" s="91"/>
      <c r="HY419" s="91"/>
      <c r="HZ419" s="91"/>
      <c r="IA419" s="91"/>
      <c r="IB419" s="91"/>
      <c r="IC419" s="91"/>
      <c r="ID419" s="91"/>
      <c r="IE419" s="91"/>
    </row>
    <row r="420" spans="2:239" ht="15" x14ac:dyDescent="0.2">
      <c r="B420" s="91"/>
      <c r="C420" s="91"/>
      <c r="D420" s="91"/>
      <c r="E420" s="227"/>
      <c r="F420" s="91"/>
      <c r="G420" s="91"/>
      <c r="H420" s="91"/>
      <c r="I420" s="91"/>
      <c r="J420" s="91"/>
      <c r="K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c r="GU420" s="91"/>
      <c r="GV420" s="91"/>
      <c r="GW420" s="91"/>
      <c r="GX420" s="91"/>
      <c r="GY420" s="91"/>
      <c r="GZ420" s="91"/>
      <c r="HA420" s="91"/>
      <c r="HB420" s="91"/>
      <c r="HC420" s="91"/>
      <c r="HD420" s="91"/>
      <c r="HE420" s="91"/>
      <c r="HF420" s="91"/>
      <c r="HG420" s="91"/>
      <c r="HH420" s="91"/>
      <c r="HI420" s="91"/>
      <c r="HJ420" s="91"/>
      <c r="HK420" s="91"/>
      <c r="HL420" s="91"/>
      <c r="HM420" s="91"/>
      <c r="HN420" s="91"/>
      <c r="HO420" s="91"/>
      <c r="HP420" s="91"/>
      <c r="HQ420" s="91"/>
      <c r="HR420" s="91"/>
      <c r="HS420" s="91"/>
      <c r="HT420" s="91"/>
      <c r="HU420" s="91"/>
      <c r="HV420" s="91"/>
      <c r="HW420" s="91"/>
      <c r="HX420" s="91"/>
      <c r="HY420" s="91"/>
      <c r="HZ420" s="91"/>
      <c r="IA420" s="91"/>
      <c r="IB420" s="91"/>
      <c r="IC420" s="91"/>
      <c r="ID420" s="91"/>
      <c r="IE420" s="91"/>
    </row>
    <row r="421" spans="2:239" ht="15" x14ac:dyDescent="0.2">
      <c r="B421" s="91"/>
      <c r="C421" s="91"/>
      <c r="D421" s="91"/>
      <c r="E421" s="227"/>
      <c r="F421" s="91"/>
      <c r="G421" s="91"/>
      <c r="H421" s="91"/>
      <c r="I421" s="91"/>
      <c r="J421" s="91"/>
      <c r="K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row>
    <row r="422" spans="2:239" ht="15" x14ac:dyDescent="0.2">
      <c r="B422" s="91"/>
      <c r="C422" s="91"/>
      <c r="D422" s="91"/>
      <c r="E422" s="227"/>
      <c r="F422" s="91"/>
      <c r="G422" s="91"/>
      <c r="H422" s="91"/>
      <c r="I422" s="91"/>
      <c r="J422" s="91"/>
      <c r="K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c r="HV422" s="91"/>
      <c r="HW422" s="91"/>
      <c r="HX422" s="91"/>
      <c r="HY422" s="91"/>
      <c r="HZ422" s="91"/>
      <c r="IA422" s="91"/>
      <c r="IB422" s="91"/>
      <c r="IC422" s="91"/>
      <c r="ID422" s="91"/>
      <c r="IE422" s="91"/>
    </row>
    <row r="423" spans="2:239" ht="15" x14ac:dyDescent="0.2">
      <c r="B423" s="91"/>
      <c r="C423" s="91"/>
      <c r="D423" s="91"/>
      <c r="E423" s="227"/>
      <c r="F423" s="91"/>
      <c r="G423" s="91"/>
      <c r="H423" s="91"/>
      <c r="I423" s="91"/>
      <c r="J423" s="91"/>
      <c r="K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c r="HV423" s="91"/>
      <c r="HW423" s="91"/>
      <c r="HX423" s="91"/>
      <c r="HY423" s="91"/>
      <c r="HZ423" s="91"/>
      <c r="IA423" s="91"/>
      <c r="IB423" s="91"/>
      <c r="IC423" s="91"/>
      <c r="ID423" s="91"/>
      <c r="IE423" s="91"/>
    </row>
    <row r="424" spans="2:239" ht="15" x14ac:dyDescent="0.2">
      <c r="B424" s="91"/>
      <c r="C424" s="91"/>
      <c r="D424" s="91"/>
      <c r="E424" s="227"/>
      <c r="F424" s="91"/>
      <c r="G424" s="91"/>
      <c r="H424" s="91"/>
      <c r="I424" s="91"/>
      <c r="J424" s="91"/>
      <c r="K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c r="HV424" s="91"/>
      <c r="HW424" s="91"/>
      <c r="HX424" s="91"/>
      <c r="HY424" s="91"/>
      <c r="HZ424" s="91"/>
      <c r="IA424" s="91"/>
      <c r="IB424" s="91"/>
      <c r="IC424" s="91"/>
      <c r="ID424" s="91"/>
      <c r="IE424" s="91"/>
    </row>
    <row r="425" spans="2:239" ht="15" x14ac:dyDescent="0.2">
      <c r="B425" s="91"/>
      <c r="C425" s="91"/>
      <c r="D425" s="91"/>
      <c r="E425" s="227"/>
      <c r="F425" s="91"/>
      <c r="G425" s="91"/>
      <c r="H425" s="91"/>
      <c r="I425" s="91"/>
      <c r="J425" s="91"/>
      <c r="K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c r="HV425" s="91"/>
      <c r="HW425" s="91"/>
      <c r="HX425" s="91"/>
      <c r="HY425" s="91"/>
      <c r="HZ425" s="91"/>
      <c r="IA425" s="91"/>
      <c r="IB425" s="91"/>
      <c r="IC425" s="91"/>
      <c r="ID425" s="91"/>
      <c r="IE425" s="91"/>
    </row>
    <row r="426" spans="2:239" ht="15" x14ac:dyDescent="0.2">
      <c r="B426" s="91"/>
      <c r="C426" s="91"/>
      <c r="D426" s="91"/>
      <c r="E426" s="227"/>
      <c r="F426" s="91"/>
      <c r="G426" s="91"/>
      <c r="H426" s="91"/>
      <c r="I426" s="91"/>
      <c r="J426" s="91"/>
      <c r="K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c r="HV426" s="91"/>
      <c r="HW426" s="91"/>
      <c r="HX426" s="91"/>
      <c r="HY426" s="91"/>
      <c r="HZ426" s="91"/>
      <c r="IA426" s="91"/>
      <c r="IB426" s="91"/>
      <c r="IC426" s="91"/>
      <c r="ID426" s="91"/>
      <c r="IE426" s="91"/>
    </row>
    <row r="427" spans="2:239" ht="15" x14ac:dyDescent="0.2">
      <c r="B427" s="91"/>
      <c r="C427" s="91"/>
      <c r="D427" s="91"/>
      <c r="E427" s="227"/>
      <c r="F427" s="91"/>
      <c r="G427" s="91"/>
      <c r="H427" s="91"/>
      <c r="I427" s="91"/>
      <c r="J427" s="91"/>
      <c r="K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c r="HV427" s="91"/>
      <c r="HW427" s="91"/>
      <c r="HX427" s="91"/>
      <c r="HY427" s="91"/>
      <c r="HZ427" s="91"/>
      <c r="IA427" s="91"/>
      <c r="IB427" s="91"/>
      <c r="IC427" s="91"/>
      <c r="ID427" s="91"/>
      <c r="IE427" s="91"/>
    </row>
    <row r="428" spans="2:239" ht="15" x14ac:dyDescent="0.2">
      <c r="B428" s="91"/>
      <c r="C428" s="91"/>
      <c r="D428" s="91"/>
      <c r="E428" s="227"/>
      <c r="F428" s="91"/>
      <c r="G428" s="91"/>
      <c r="H428" s="91"/>
      <c r="I428" s="91"/>
      <c r="J428" s="91"/>
      <c r="K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c r="HV428" s="91"/>
      <c r="HW428" s="91"/>
      <c r="HX428" s="91"/>
      <c r="HY428" s="91"/>
      <c r="HZ428" s="91"/>
      <c r="IA428" s="91"/>
      <c r="IB428" s="91"/>
      <c r="IC428" s="91"/>
      <c r="ID428" s="91"/>
      <c r="IE428" s="91"/>
    </row>
    <row r="429" spans="2:239" ht="15" x14ac:dyDescent="0.2">
      <c r="B429" s="91"/>
      <c r="C429" s="91"/>
      <c r="D429" s="91"/>
      <c r="E429" s="227"/>
      <c r="F429" s="91"/>
      <c r="G429" s="91"/>
      <c r="H429" s="91"/>
      <c r="I429" s="91"/>
      <c r="J429" s="91"/>
      <c r="K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c r="HV429" s="91"/>
      <c r="HW429" s="91"/>
      <c r="HX429" s="91"/>
      <c r="HY429" s="91"/>
      <c r="HZ429" s="91"/>
      <c r="IA429" s="91"/>
      <c r="IB429" s="91"/>
      <c r="IC429" s="91"/>
      <c r="ID429" s="91"/>
      <c r="IE429" s="91"/>
    </row>
    <row r="430" spans="2:239" ht="15" x14ac:dyDescent="0.2">
      <c r="B430" s="91"/>
      <c r="C430" s="91"/>
      <c r="D430" s="91"/>
      <c r="E430" s="227"/>
      <c r="F430" s="91"/>
      <c r="G430" s="91"/>
      <c r="H430" s="91"/>
      <c r="I430" s="91"/>
      <c r="J430" s="91"/>
      <c r="K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c r="GU430" s="91"/>
      <c r="GV430" s="91"/>
      <c r="GW430" s="91"/>
      <c r="GX430" s="91"/>
      <c r="GY430" s="91"/>
      <c r="GZ430" s="91"/>
      <c r="HA430" s="91"/>
      <c r="HB430" s="91"/>
      <c r="HC430" s="91"/>
      <c r="HD430" s="91"/>
      <c r="HE430" s="91"/>
      <c r="HF430" s="91"/>
      <c r="HG430" s="91"/>
      <c r="HH430" s="91"/>
      <c r="HI430" s="91"/>
      <c r="HJ430" s="91"/>
      <c r="HK430" s="91"/>
      <c r="HL430" s="91"/>
      <c r="HM430" s="91"/>
      <c r="HN430" s="91"/>
      <c r="HO430" s="91"/>
      <c r="HP430" s="91"/>
      <c r="HQ430" s="91"/>
      <c r="HR430" s="91"/>
      <c r="HS430" s="91"/>
      <c r="HT430" s="91"/>
      <c r="HU430" s="91"/>
      <c r="HV430" s="91"/>
      <c r="HW430" s="91"/>
      <c r="HX430" s="91"/>
      <c r="HY430" s="91"/>
      <c r="HZ430" s="91"/>
      <c r="IA430" s="91"/>
      <c r="IB430" s="91"/>
      <c r="IC430" s="91"/>
      <c r="ID430" s="91"/>
      <c r="IE430" s="91"/>
    </row>
    <row r="431" spans="2:239" ht="15" x14ac:dyDescent="0.2">
      <c r="B431" s="91"/>
      <c r="C431" s="91"/>
      <c r="D431" s="91"/>
      <c r="E431" s="227"/>
      <c r="F431" s="91"/>
      <c r="G431" s="91"/>
      <c r="H431" s="91"/>
      <c r="I431" s="91"/>
      <c r="J431" s="91"/>
      <c r="K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c r="GU431" s="91"/>
      <c r="GV431" s="91"/>
      <c r="GW431" s="91"/>
      <c r="GX431" s="91"/>
      <c r="GY431" s="91"/>
      <c r="GZ431" s="91"/>
      <c r="HA431" s="91"/>
      <c r="HB431" s="91"/>
      <c r="HC431" s="91"/>
      <c r="HD431" s="91"/>
      <c r="HE431" s="91"/>
      <c r="HF431" s="91"/>
      <c r="HG431" s="91"/>
      <c r="HH431" s="91"/>
      <c r="HI431" s="91"/>
      <c r="HJ431" s="91"/>
      <c r="HK431" s="91"/>
      <c r="HL431" s="91"/>
      <c r="HM431" s="91"/>
      <c r="HN431" s="91"/>
      <c r="HO431" s="91"/>
      <c r="HP431" s="91"/>
      <c r="HQ431" s="91"/>
      <c r="HR431" s="91"/>
      <c r="HS431" s="91"/>
      <c r="HT431" s="91"/>
      <c r="HU431" s="91"/>
      <c r="HV431" s="91"/>
      <c r="HW431" s="91"/>
      <c r="HX431" s="91"/>
      <c r="HY431" s="91"/>
      <c r="HZ431" s="91"/>
      <c r="IA431" s="91"/>
      <c r="IB431" s="91"/>
      <c r="IC431" s="91"/>
      <c r="ID431" s="91"/>
      <c r="IE431" s="91"/>
    </row>
    <row r="432" spans="2:239" ht="15" x14ac:dyDescent="0.2">
      <c r="B432" s="91"/>
      <c r="C432" s="91"/>
      <c r="D432" s="91"/>
      <c r="E432" s="227"/>
      <c r="F432" s="91"/>
      <c r="G432" s="91"/>
      <c r="H432" s="91"/>
      <c r="I432" s="91"/>
      <c r="J432" s="91"/>
      <c r="K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c r="GU432" s="91"/>
      <c r="GV432" s="91"/>
      <c r="GW432" s="91"/>
      <c r="GX432" s="91"/>
      <c r="GY432" s="91"/>
      <c r="GZ432" s="91"/>
      <c r="HA432" s="91"/>
      <c r="HB432" s="91"/>
      <c r="HC432" s="91"/>
      <c r="HD432" s="91"/>
      <c r="HE432" s="91"/>
      <c r="HF432" s="91"/>
      <c r="HG432" s="91"/>
      <c r="HH432" s="91"/>
      <c r="HI432" s="91"/>
      <c r="HJ432" s="91"/>
      <c r="HK432" s="91"/>
      <c r="HL432" s="91"/>
      <c r="HM432" s="91"/>
      <c r="HN432" s="91"/>
      <c r="HO432" s="91"/>
      <c r="HP432" s="91"/>
      <c r="HQ432" s="91"/>
      <c r="HR432" s="91"/>
      <c r="HS432" s="91"/>
      <c r="HT432" s="91"/>
      <c r="HU432" s="91"/>
      <c r="HV432" s="91"/>
      <c r="HW432" s="91"/>
      <c r="HX432" s="91"/>
      <c r="HY432" s="91"/>
      <c r="HZ432" s="91"/>
      <c r="IA432" s="91"/>
      <c r="IB432" s="91"/>
      <c r="IC432" s="91"/>
      <c r="ID432" s="91"/>
      <c r="IE432" s="91"/>
    </row>
    <row r="433" spans="2:239" ht="15" x14ac:dyDescent="0.2">
      <c r="B433" s="91"/>
      <c r="C433" s="91"/>
      <c r="D433" s="91"/>
      <c r="E433" s="227"/>
      <c r="F433" s="91"/>
      <c r="G433" s="91"/>
      <c r="H433" s="91"/>
      <c r="I433" s="91"/>
      <c r="J433" s="91"/>
      <c r="K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c r="HV433" s="91"/>
      <c r="HW433" s="91"/>
      <c r="HX433" s="91"/>
      <c r="HY433" s="91"/>
      <c r="HZ433" s="91"/>
      <c r="IA433" s="91"/>
      <c r="IB433" s="91"/>
      <c r="IC433" s="91"/>
      <c r="ID433" s="91"/>
      <c r="IE433" s="91"/>
    </row>
    <row r="434" spans="2:239" ht="15" x14ac:dyDescent="0.2">
      <c r="B434" s="91"/>
      <c r="C434" s="91"/>
      <c r="D434" s="91"/>
      <c r="E434" s="227"/>
      <c r="F434" s="91"/>
      <c r="G434" s="91"/>
      <c r="H434" s="91"/>
      <c r="I434" s="91"/>
      <c r="J434" s="91"/>
      <c r="K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c r="GU434" s="91"/>
      <c r="GV434" s="91"/>
      <c r="GW434" s="91"/>
      <c r="GX434" s="91"/>
      <c r="GY434" s="91"/>
      <c r="GZ434" s="91"/>
      <c r="HA434" s="91"/>
      <c r="HB434" s="91"/>
      <c r="HC434" s="91"/>
      <c r="HD434" s="91"/>
      <c r="HE434" s="91"/>
      <c r="HF434" s="91"/>
      <c r="HG434" s="91"/>
      <c r="HH434" s="91"/>
      <c r="HI434" s="91"/>
      <c r="HJ434" s="91"/>
      <c r="HK434" s="91"/>
      <c r="HL434" s="91"/>
      <c r="HM434" s="91"/>
      <c r="HN434" s="91"/>
      <c r="HO434" s="91"/>
      <c r="HP434" s="91"/>
      <c r="HQ434" s="91"/>
      <c r="HR434" s="91"/>
      <c r="HS434" s="91"/>
      <c r="HT434" s="91"/>
      <c r="HU434" s="91"/>
      <c r="HV434" s="91"/>
      <c r="HW434" s="91"/>
      <c r="HX434" s="91"/>
      <c r="HY434" s="91"/>
      <c r="HZ434" s="91"/>
      <c r="IA434" s="91"/>
      <c r="IB434" s="91"/>
      <c r="IC434" s="91"/>
      <c r="ID434" s="91"/>
      <c r="IE434" s="91"/>
    </row>
    <row r="435" spans="2:239" ht="15" x14ac:dyDescent="0.2">
      <c r="B435" s="91"/>
      <c r="C435" s="91"/>
      <c r="D435" s="91"/>
      <c r="E435" s="227"/>
      <c r="F435" s="91"/>
      <c r="G435" s="91"/>
      <c r="H435" s="91"/>
      <c r="I435" s="91"/>
      <c r="J435" s="91"/>
      <c r="K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c r="GU435" s="91"/>
      <c r="GV435" s="91"/>
      <c r="GW435" s="91"/>
      <c r="GX435" s="91"/>
      <c r="GY435" s="91"/>
      <c r="GZ435" s="91"/>
      <c r="HA435" s="91"/>
      <c r="HB435" s="91"/>
      <c r="HC435" s="91"/>
      <c r="HD435" s="91"/>
      <c r="HE435" s="91"/>
      <c r="HF435" s="91"/>
      <c r="HG435" s="91"/>
      <c r="HH435" s="91"/>
      <c r="HI435" s="91"/>
      <c r="HJ435" s="91"/>
      <c r="HK435" s="91"/>
      <c r="HL435" s="91"/>
      <c r="HM435" s="91"/>
      <c r="HN435" s="91"/>
      <c r="HO435" s="91"/>
      <c r="HP435" s="91"/>
      <c r="HQ435" s="91"/>
      <c r="HR435" s="91"/>
      <c r="HS435" s="91"/>
      <c r="HT435" s="91"/>
      <c r="HU435" s="91"/>
      <c r="HV435" s="91"/>
      <c r="HW435" s="91"/>
      <c r="HX435" s="91"/>
      <c r="HY435" s="91"/>
      <c r="HZ435" s="91"/>
      <c r="IA435" s="91"/>
      <c r="IB435" s="91"/>
      <c r="IC435" s="91"/>
      <c r="ID435" s="91"/>
      <c r="IE435" s="91"/>
    </row>
    <row r="436" spans="2:239" ht="15" x14ac:dyDescent="0.2">
      <c r="B436" s="91"/>
      <c r="C436" s="91"/>
      <c r="D436" s="91"/>
      <c r="E436" s="227"/>
      <c r="F436" s="91"/>
      <c r="G436" s="91"/>
      <c r="H436" s="91"/>
      <c r="I436" s="91"/>
      <c r="J436" s="91"/>
      <c r="K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c r="GU436" s="91"/>
      <c r="GV436" s="91"/>
      <c r="GW436" s="91"/>
      <c r="GX436" s="91"/>
      <c r="GY436" s="91"/>
      <c r="GZ436" s="91"/>
      <c r="HA436" s="91"/>
      <c r="HB436" s="91"/>
      <c r="HC436" s="91"/>
      <c r="HD436" s="91"/>
      <c r="HE436" s="91"/>
      <c r="HF436" s="91"/>
      <c r="HG436" s="91"/>
      <c r="HH436" s="91"/>
      <c r="HI436" s="91"/>
      <c r="HJ436" s="91"/>
      <c r="HK436" s="91"/>
      <c r="HL436" s="91"/>
      <c r="HM436" s="91"/>
      <c r="HN436" s="91"/>
      <c r="HO436" s="91"/>
      <c r="HP436" s="91"/>
      <c r="HQ436" s="91"/>
      <c r="HR436" s="91"/>
      <c r="HS436" s="91"/>
      <c r="HT436" s="91"/>
      <c r="HU436" s="91"/>
      <c r="HV436" s="91"/>
      <c r="HW436" s="91"/>
      <c r="HX436" s="91"/>
      <c r="HY436" s="91"/>
      <c r="HZ436" s="91"/>
      <c r="IA436" s="91"/>
      <c r="IB436" s="91"/>
      <c r="IC436" s="91"/>
      <c r="ID436" s="91"/>
      <c r="IE436" s="91"/>
    </row>
    <row r="437" spans="2:239" ht="15" x14ac:dyDescent="0.2">
      <c r="B437" s="91"/>
      <c r="C437" s="91"/>
      <c r="D437" s="91"/>
      <c r="E437" s="227"/>
      <c r="F437" s="91"/>
      <c r="G437" s="91"/>
      <c r="H437" s="91"/>
      <c r="I437" s="91"/>
      <c r="J437" s="91"/>
      <c r="K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c r="GU437" s="91"/>
      <c r="GV437" s="91"/>
      <c r="GW437" s="91"/>
      <c r="GX437" s="91"/>
      <c r="GY437" s="91"/>
      <c r="GZ437" s="91"/>
      <c r="HA437" s="91"/>
      <c r="HB437" s="91"/>
      <c r="HC437" s="91"/>
      <c r="HD437" s="91"/>
      <c r="HE437" s="91"/>
      <c r="HF437" s="91"/>
      <c r="HG437" s="91"/>
      <c r="HH437" s="91"/>
      <c r="HI437" s="91"/>
      <c r="HJ437" s="91"/>
      <c r="HK437" s="91"/>
      <c r="HL437" s="91"/>
      <c r="HM437" s="91"/>
      <c r="HN437" s="91"/>
      <c r="HO437" s="91"/>
      <c r="HP437" s="91"/>
      <c r="HQ437" s="91"/>
      <c r="HR437" s="91"/>
      <c r="HS437" s="91"/>
      <c r="HT437" s="91"/>
      <c r="HU437" s="91"/>
      <c r="HV437" s="91"/>
      <c r="HW437" s="91"/>
      <c r="HX437" s="91"/>
      <c r="HY437" s="91"/>
      <c r="HZ437" s="91"/>
      <c r="IA437" s="91"/>
      <c r="IB437" s="91"/>
      <c r="IC437" s="91"/>
      <c r="ID437" s="91"/>
      <c r="IE437" s="91"/>
    </row>
    <row r="438" spans="2:239" ht="15" x14ac:dyDescent="0.2">
      <c r="B438" s="91"/>
      <c r="C438" s="91"/>
      <c r="D438" s="91"/>
      <c r="E438" s="227"/>
      <c r="F438" s="91"/>
      <c r="G438" s="91"/>
      <c r="H438" s="91"/>
      <c r="I438" s="91"/>
      <c r="J438" s="91"/>
      <c r="K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c r="HV438" s="91"/>
      <c r="HW438" s="91"/>
      <c r="HX438" s="91"/>
      <c r="HY438" s="91"/>
      <c r="HZ438" s="91"/>
      <c r="IA438" s="91"/>
      <c r="IB438" s="91"/>
      <c r="IC438" s="91"/>
      <c r="ID438" s="91"/>
      <c r="IE438" s="91"/>
    </row>
    <row r="439" spans="2:239" ht="15" x14ac:dyDescent="0.2">
      <c r="B439" s="91"/>
      <c r="C439" s="91"/>
      <c r="D439" s="91"/>
      <c r="E439" s="227"/>
      <c r="F439" s="91"/>
      <c r="G439" s="91"/>
      <c r="H439" s="91"/>
      <c r="I439" s="91"/>
      <c r="J439" s="91"/>
      <c r="K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c r="HV439" s="91"/>
      <c r="HW439" s="91"/>
      <c r="HX439" s="91"/>
      <c r="HY439" s="91"/>
      <c r="HZ439" s="91"/>
      <c r="IA439" s="91"/>
      <c r="IB439" s="91"/>
      <c r="IC439" s="91"/>
      <c r="ID439" s="91"/>
      <c r="IE439" s="91"/>
    </row>
    <row r="440" spans="2:239" ht="15" x14ac:dyDescent="0.2">
      <c r="B440" s="91"/>
      <c r="C440" s="91"/>
      <c r="D440" s="91"/>
      <c r="E440" s="227"/>
      <c r="F440" s="91"/>
      <c r="G440" s="91"/>
      <c r="H440" s="91"/>
      <c r="I440" s="91"/>
      <c r="J440" s="91"/>
      <c r="K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c r="HV440" s="91"/>
      <c r="HW440" s="91"/>
      <c r="HX440" s="91"/>
      <c r="HY440" s="91"/>
      <c r="HZ440" s="91"/>
      <c r="IA440" s="91"/>
      <c r="IB440" s="91"/>
      <c r="IC440" s="91"/>
      <c r="ID440" s="91"/>
      <c r="IE440" s="91"/>
    </row>
    <row r="441" spans="2:239" ht="15" x14ac:dyDescent="0.2">
      <c r="B441" s="91"/>
      <c r="C441" s="91"/>
      <c r="D441" s="91"/>
      <c r="E441" s="227"/>
      <c r="F441" s="91"/>
      <c r="G441" s="91"/>
      <c r="H441" s="91"/>
      <c r="I441" s="91"/>
      <c r="J441" s="91"/>
      <c r="K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c r="GU441" s="91"/>
      <c r="GV441" s="91"/>
      <c r="GW441" s="91"/>
      <c r="GX441" s="91"/>
      <c r="GY441" s="91"/>
      <c r="GZ441" s="91"/>
      <c r="HA441" s="91"/>
      <c r="HB441" s="91"/>
      <c r="HC441" s="91"/>
      <c r="HD441" s="91"/>
      <c r="HE441" s="91"/>
      <c r="HF441" s="91"/>
      <c r="HG441" s="91"/>
      <c r="HH441" s="91"/>
      <c r="HI441" s="91"/>
      <c r="HJ441" s="91"/>
      <c r="HK441" s="91"/>
      <c r="HL441" s="91"/>
      <c r="HM441" s="91"/>
      <c r="HN441" s="91"/>
      <c r="HO441" s="91"/>
      <c r="HP441" s="91"/>
      <c r="HQ441" s="91"/>
      <c r="HR441" s="91"/>
      <c r="HS441" s="91"/>
      <c r="HT441" s="91"/>
      <c r="HU441" s="91"/>
      <c r="HV441" s="91"/>
      <c r="HW441" s="91"/>
      <c r="HX441" s="91"/>
      <c r="HY441" s="91"/>
      <c r="HZ441" s="91"/>
      <c r="IA441" s="91"/>
      <c r="IB441" s="91"/>
      <c r="IC441" s="91"/>
      <c r="ID441" s="91"/>
      <c r="IE441" s="91"/>
    </row>
    <row r="442" spans="2:239" ht="15" x14ac:dyDescent="0.2">
      <c r="B442" s="91"/>
      <c r="C442" s="91"/>
      <c r="D442" s="91"/>
      <c r="E442" s="227"/>
      <c r="F442" s="91"/>
      <c r="G442" s="91"/>
      <c r="H442" s="91"/>
      <c r="I442" s="91"/>
      <c r="J442" s="91"/>
      <c r="K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c r="HV442" s="91"/>
      <c r="HW442" s="91"/>
      <c r="HX442" s="91"/>
      <c r="HY442" s="91"/>
      <c r="HZ442" s="91"/>
      <c r="IA442" s="91"/>
      <c r="IB442" s="91"/>
      <c r="IC442" s="91"/>
      <c r="ID442" s="91"/>
      <c r="IE442" s="91"/>
    </row>
    <row r="443" spans="2:239" ht="15" x14ac:dyDescent="0.2">
      <c r="B443" s="91"/>
      <c r="C443" s="91"/>
      <c r="D443" s="91"/>
      <c r="E443" s="227"/>
      <c r="F443" s="91"/>
      <c r="G443" s="91"/>
      <c r="H443" s="91"/>
      <c r="I443" s="91"/>
      <c r="J443" s="91"/>
      <c r="K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c r="GU443" s="91"/>
      <c r="GV443" s="91"/>
      <c r="GW443" s="91"/>
      <c r="GX443" s="91"/>
      <c r="GY443" s="91"/>
      <c r="GZ443" s="91"/>
      <c r="HA443" s="91"/>
      <c r="HB443" s="91"/>
      <c r="HC443" s="91"/>
      <c r="HD443" s="91"/>
      <c r="HE443" s="91"/>
      <c r="HF443" s="91"/>
      <c r="HG443" s="91"/>
      <c r="HH443" s="91"/>
      <c r="HI443" s="91"/>
      <c r="HJ443" s="91"/>
      <c r="HK443" s="91"/>
      <c r="HL443" s="91"/>
      <c r="HM443" s="91"/>
      <c r="HN443" s="91"/>
      <c r="HO443" s="91"/>
      <c r="HP443" s="91"/>
      <c r="HQ443" s="91"/>
      <c r="HR443" s="91"/>
      <c r="HS443" s="91"/>
      <c r="HT443" s="91"/>
      <c r="HU443" s="91"/>
      <c r="HV443" s="91"/>
      <c r="HW443" s="91"/>
      <c r="HX443" s="91"/>
      <c r="HY443" s="91"/>
      <c r="HZ443" s="91"/>
      <c r="IA443" s="91"/>
      <c r="IB443" s="91"/>
      <c r="IC443" s="91"/>
      <c r="ID443" s="91"/>
      <c r="IE443" s="91"/>
    </row>
    <row r="444" spans="2:239" ht="15" x14ac:dyDescent="0.2">
      <c r="B444" s="91"/>
      <c r="C444" s="91"/>
      <c r="D444" s="91"/>
      <c r="E444" s="227"/>
      <c r="F444" s="91"/>
      <c r="G444" s="91"/>
      <c r="H444" s="91"/>
      <c r="I444" s="91"/>
      <c r="J444" s="91"/>
      <c r="K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c r="HV444" s="91"/>
      <c r="HW444" s="91"/>
      <c r="HX444" s="91"/>
      <c r="HY444" s="91"/>
      <c r="HZ444" s="91"/>
      <c r="IA444" s="91"/>
      <c r="IB444" s="91"/>
      <c r="IC444" s="91"/>
      <c r="ID444" s="91"/>
      <c r="IE444" s="91"/>
    </row>
    <row r="445" spans="2:239" ht="15" x14ac:dyDescent="0.2">
      <c r="B445" s="91"/>
      <c r="C445" s="91"/>
      <c r="D445" s="91"/>
      <c r="E445" s="227"/>
      <c r="F445" s="91"/>
      <c r="G445" s="91"/>
      <c r="H445" s="91"/>
      <c r="I445" s="91"/>
      <c r="J445" s="91"/>
      <c r="K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c r="GU445" s="91"/>
      <c r="GV445" s="91"/>
      <c r="GW445" s="91"/>
      <c r="GX445" s="91"/>
      <c r="GY445" s="91"/>
      <c r="GZ445" s="91"/>
      <c r="HA445" s="91"/>
      <c r="HB445" s="91"/>
      <c r="HC445" s="91"/>
      <c r="HD445" s="91"/>
      <c r="HE445" s="91"/>
      <c r="HF445" s="91"/>
      <c r="HG445" s="91"/>
      <c r="HH445" s="91"/>
      <c r="HI445" s="91"/>
      <c r="HJ445" s="91"/>
      <c r="HK445" s="91"/>
      <c r="HL445" s="91"/>
      <c r="HM445" s="91"/>
      <c r="HN445" s="91"/>
      <c r="HO445" s="91"/>
      <c r="HP445" s="91"/>
      <c r="HQ445" s="91"/>
      <c r="HR445" s="91"/>
      <c r="HS445" s="91"/>
      <c r="HT445" s="91"/>
      <c r="HU445" s="91"/>
      <c r="HV445" s="91"/>
      <c r="HW445" s="91"/>
      <c r="HX445" s="91"/>
      <c r="HY445" s="91"/>
      <c r="HZ445" s="91"/>
      <c r="IA445" s="91"/>
      <c r="IB445" s="91"/>
      <c r="IC445" s="91"/>
      <c r="ID445" s="91"/>
      <c r="IE445" s="91"/>
    </row>
    <row r="446" spans="2:239" ht="15" x14ac:dyDescent="0.2">
      <c r="B446" s="91"/>
      <c r="C446" s="91"/>
      <c r="D446" s="91"/>
      <c r="E446" s="227"/>
      <c r="F446" s="91"/>
      <c r="G446" s="91"/>
      <c r="H446" s="91"/>
      <c r="I446" s="91"/>
      <c r="J446" s="91"/>
      <c r="K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c r="HV446" s="91"/>
      <c r="HW446" s="91"/>
      <c r="HX446" s="91"/>
      <c r="HY446" s="91"/>
      <c r="HZ446" s="91"/>
      <c r="IA446" s="91"/>
      <c r="IB446" s="91"/>
      <c r="IC446" s="91"/>
      <c r="ID446" s="91"/>
      <c r="IE446" s="91"/>
    </row>
    <row r="447" spans="2:239" ht="15" x14ac:dyDescent="0.2">
      <c r="B447" s="91"/>
      <c r="C447" s="91"/>
      <c r="D447" s="91"/>
      <c r="E447" s="227"/>
      <c r="F447" s="91"/>
      <c r="G447" s="91"/>
      <c r="H447" s="91"/>
      <c r="I447" s="91"/>
      <c r="J447" s="91"/>
      <c r="K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c r="HV447" s="91"/>
      <c r="HW447" s="91"/>
      <c r="HX447" s="91"/>
      <c r="HY447" s="91"/>
      <c r="HZ447" s="91"/>
      <c r="IA447" s="91"/>
      <c r="IB447" s="91"/>
      <c r="IC447" s="91"/>
      <c r="ID447" s="91"/>
      <c r="IE447" s="91"/>
    </row>
    <row r="448" spans="2:239" ht="15" x14ac:dyDescent="0.2">
      <c r="B448" s="91"/>
      <c r="C448" s="91"/>
      <c r="D448" s="91"/>
      <c r="E448" s="227"/>
      <c r="F448" s="91"/>
      <c r="G448" s="91"/>
      <c r="H448" s="91"/>
      <c r="I448" s="91"/>
      <c r="J448" s="91"/>
      <c r="K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c r="GU448" s="91"/>
      <c r="GV448" s="91"/>
      <c r="GW448" s="91"/>
      <c r="GX448" s="91"/>
      <c r="GY448" s="91"/>
      <c r="GZ448" s="91"/>
      <c r="HA448" s="91"/>
      <c r="HB448" s="91"/>
      <c r="HC448" s="91"/>
      <c r="HD448" s="91"/>
      <c r="HE448" s="91"/>
      <c r="HF448" s="91"/>
      <c r="HG448" s="91"/>
      <c r="HH448" s="91"/>
      <c r="HI448" s="91"/>
      <c r="HJ448" s="91"/>
      <c r="HK448" s="91"/>
      <c r="HL448" s="91"/>
      <c r="HM448" s="91"/>
      <c r="HN448" s="91"/>
      <c r="HO448" s="91"/>
      <c r="HP448" s="91"/>
      <c r="HQ448" s="91"/>
      <c r="HR448" s="91"/>
      <c r="HS448" s="91"/>
      <c r="HT448" s="91"/>
      <c r="HU448" s="91"/>
      <c r="HV448" s="91"/>
      <c r="HW448" s="91"/>
      <c r="HX448" s="91"/>
      <c r="HY448" s="91"/>
      <c r="HZ448" s="91"/>
      <c r="IA448" s="91"/>
      <c r="IB448" s="91"/>
      <c r="IC448" s="91"/>
      <c r="ID448" s="91"/>
      <c r="IE448" s="91"/>
    </row>
    <row r="449" spans="2:239" ht="15" x14ac:dyDescent="0.2">
      <c r="B449" s="91"/>
      <c r="C449" s="91"/>
      <c r="D449" s="91"/>
      <c r="E449" s="227"/>
      <c r="F449" s="91"/>
      <c r="G449" s="91"/>
      <c r="H449" s="91"/>
      <c r="I449" s="91"/>
      <c r="J449" s="91"/>
      <c r="K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c r="GU449" s="91"/>
      <c r="GV449" s="91"/>
      <c r="GW449" s="91"/>
      <c r="GX449" s="91"/>
      <c r="GY449" s="91"/>
      <c r="GZ449" s="91"/>
      <c r="HA449" s="91"/>
      <c r="HB449" s="91"/>
      <c r="HC449" s="91"/>
      <c r="HD449" s="91"/>
      <c r="HE449" s="91"/>
      <c r="HF449" s="91"/>
      <c r="HG449" s="91"/>
      <c r="HH449" s="91"/>
      <c r="HI449" s="91"/>
      <c r="HJ449" s="91"/>
      <c r="HK449" s="91"/>
      <c r="HL449" s="91"/>
      <c r="HM449" s="91"/>
      <c r="HN449" s="91"/>
      <c r="HO449" s="91"/>
      <c r="HP449" s="91"/>
      <c r="HQ449" s="91"/>
      <c r="HR449" s="91"/>
      <c r="HS449" s="91"/>
      <c r="HT449" s="91"/>
      <c r="HU449" s="91"/>
      <c r="HV449" s="91"/>
      <c r="HW449" s="91"/>
      <c r="HX449" s="91"/>
      <c r="HY449" s="91"/>
      <c r="HZ449" s="91"/>
      <c r="IA449" s="91"/>
      <c r="IB449" s="91"/>
      <c r="IC449" s="91"/>
      <c r="ID449" s="91"/>
      <c r="IE449" s="91"/>
    </row>
    <row r="450" spans="2:239" ht="15" x14ac:dyDescent="0.2">
      <c r="B450" s="91"/>
      <c r="C450" s="91"/>
      <c r="D450" s="91"/>
      <c r="E450" s="227"/>
      <c r="F450" s="91"/>
      <c r="G450" s="91"/>
      <c r="H450" s="91"/>
      <c r="I450" s="91"/>
      <c r="J450" s="91"/>
      <c r="K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c r="HV450" s="91"/>
      <c r="HW450" s="91"/>
      <c r="HX450" s="91"/>
      <c r="HY450" s="91"/>
      <c r="HZ450" s="91"/>
      <c r="IA450" s="91"/>
      <c r="IB450" s="91"/>
      <c r="IC450" s="91"/>
      <c r="ID450" s="91"/>
      <c r="IE450" s="91"/>
    </row>
    <row r="451" spans="2:239" ht="15" x14ac:dyDescent="0.2">
      <c r="B451" s="91"/>
      <c r="C451" s="91"/>
      <c r="D451" s="91"/>
      <c r="E451" s="227"/>
      <c r="F451" s="91"/>
      <c r="G451" s="91"/>
      <c r="H451" s="91"/>
      <c r="I451" s="91"/>
      <c r="J451" s="91"/>
      <c r="K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c r="GU451" s="91"/>
      <c r="GV451" s="91"/>
      <c r="GW451" s="91"/>
      <c r="GX451" s="91"/>
      <c r="GY451" s="91"/>
      <c r="GZ451" s="91"/>
      <c r="HA451" s="91"/>
      <c r="HB451" s="91"/>
      <c r="HC451" s="91"/>
      <c r="HD451" s="91"/>
      <c r="HE451" s="91"/>
      <c r="HF451" s="91"/>
      <c r="HG451" s="91"/>
      <c r="HH451" s="91"/>
      <c r="HI451" s="91"/>
      <c r="HJ451" s="91"/>
      <c r="HK451" s="91"/>
      <c r="HL451" s="91"/>
      <c r="HM451" s="91"/>
      <c r="HN451" s="91"/>
      <c r="HO451" s="91"/>
      <c r="HP451" s="91"/>
      <c r="HQ451" s="91"/>
      <c r="HR451" s="91"/>
      <c r="HS451" s="91"/>
      <c r="HT451" s="91"/>
      <c r="HU451" s="91"/>
      <c r="HV451" s="91"/>
      <c r="HW451" s="91"/>
      <c r="HX451" s="91"/>
      <c r="HY451" s="91"/>
      <c r="HZ451" s="91"/>
      <c r="IA451" s="91"/>
      <c r="IB451" s="91"/>
      <c r="IC451" s="91"/>
      <c r="ID451" s="91"/>
      <c r="IE451" s="91"/>
    </row>
    <row r="452" spans="2:239" ht="15" x14ac:dyDescent="0.2">
      <c r="B452" s="91"/>
      <c r="C452" s="91"/>
      <c r="D452" s="91"/>
      <c r="E452" s="227"/>
      <c r="F452" s="91"/>
      <c r="G452" s="91"/>
      <c r="H452" s="91"/>
      <c r="I452" s="91"/>
      <c r="J452" s="91"/>
      <c r="K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c r="GU452" s="91"/>
      <c r="GV452" s="91"/>
      <c r="GW452" s="91"/>
      <c r="GX452" s="91"/>
      <c r="GY452" s="91"/>
      <c r="GZ452" s="91"/>
      <c r="HA452" s="91"/>
      <c r="HB452" s="91"/>
      <c r="HC452" s="91"/>
      <c r="HD452" s="91"/>
      <c r="HE452" s="91"/>
      <c r="HF452" s="91"/>
      <c r="HG452" s="91"/>
      <c r="HH452" s="91"/>
      <c r="HI452" s="91"/>
      <c r="HJ452" s="91"/>
      <c r="HK452" s="91"/>
      <c r="HL452" s="91"/>
      <c r="HM452" s="91"/>
      <c r="HN452" s="91"/>
      <c r="HO452" s="91"/>
      <c r="HP452" s="91"/>
      <c r="HQ452" s="91"/>
      <c r="HR452" s="91"/>
      <c r="HS452" s="91"/>
      <c r="HT452" s="91"/>
      <c r="HU452" s="91"/>
      <c r="HV452" s="91"/>
      <c r="HW452" s="91"/>
      <c r="HX452" s="91"/>
      <c r="HY452" s="91"/>
      <c r="HZ452" s="91"/>
      <c r="IA452" s="91"/>
      <c r="IB452" s="91"/>
      <c r="IC452" s="91"/>
      <c r="ID452" s="91"/>
      <c r="IE452" s="91"/>
    </row>
    <row r="453" spans="2:239" ht="15" x14ac:dyDescent="0.2">
      <c r="B453" s="91"/>
      <c r="C453" s="91"/>
      <c r="D453" s="91"/>
      <c r="E453" s="227"/>
      <c r="F453" s="91"/>
      <c r="G453" s="91"/>
      <c r="H453" s="91"/>
      <c r="I453" s="91"/>
      <c r="J453" s="91"/>
      <c r="K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c r="GU453" s="91"/>
      <c r="GV453" s="91"/>
      <c r="GW453" s="91"/>
      <c r="GX453" s="91"/>
      <c r="GY453" s="91"/>
      <c r="GZ453" s="91"/>
      <c r="HA453" s="91"/>
      <c r="HB453" s="91"/>
      <c r="HC453" s="91"/>
      <c r="HD453" s="91"/>
      <c r="HE453" s="91"/>
      <c r="HF453" s="91"/>
      <c r="HG453" s="91"/>
      <c r="HH453" s="91"/>
      <c r="HI453" s="91"/>
      <c r="HJ453" s="91"/>
      <c r="HK453" s="91"/>
      <c r="HL453" s="91"/>
      <c r="HM453" s="91"/>
      <c r="HN453" s="91"/>
      <c r="HO453" s="91"/>
      <c r="HP453" s="91"/>
      <c r="HQ453" s="91"/>
      <c r="HR453" s="91"/>
      <c r="HS453" s="91"/>
      <c r="HT453" s="91"/>
      <c r="HU453" s="91"/>
      <c r="HV453" s="91"/>
      <c r="HW453" s="91"/>
      <c r="HX453" s="91"/>
      <c r="HY453" s="91"/>
      <c r="HZ453" s="91"/>
      <c r="IA453" s="91"/>
      <c r="IB453" s="91"/>
      <c r="IC453" s="91"/>
      <c r="ID453" s="91"/>
      <c r="IE453" s="91"/>
    </row>
    <row r="454" spans="2:239" ht="15" x14ac:dyDescent="0.2">
      <c r="B454" s="91"/>
      <c r="C454" s="91"/>
      <c r="D454" s="91"/>
      <c r="E454" s="227"/>
      <c r="F454" s="91"/>
      <c r="G454" s="91"/>
      <c r="H454" s="91"/>
      <c r="I454" s="91"/>
      <c r="J454" s="91"/>
      <c r="K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c r="GU454" s="91"/>
      <c r="GV454" s="91"/>
      <c r="GW454" s="91"/>
      <c r="GX454" s="91"/>
      <c r="GY454" s="91"/>
      <c r="GZ454" s="91"/>
      <c r="HA454" s="91"/>
      <c r="HB454" s="91"/>
      <c r="HC454" s="91"/>
      <c r="HD454" s="91"/>
      <c r="HE454" s="91"/>
      <c r="HF454" s="91"/>
      <c r="HG454" s="91"/>
      <c r="HH454" s="91"/>
      <c r="HI454" s="91"/>
      <c r="HJ454" s="91"/>
      <c r="HK454" s="91"/>
      <c r="HL454" s="91"/>
      <c r="HM454" s="91"/>
      <c r="HN454" s="91"/>
      <c r="HO454" s="91"/>
      <c r="HP454" s="91"/>
      <c r="HQ454" s="91"/>
      <c r="HR454" s="91"/>
      <c r="HS454" s="91"/>
      <c r="HT454" s="91"/>
      <c r="HU454" s="91"/>
      <c r="HV454" s="91"/>
      <c r="HW454" s="91"/>
      <c r="HX454" s="91"/>
      <c r="HY454" s="91"/>
      <c r="HZ454" s="91"/>
      <c r="IA454" s="91"/>
      <c r="IB454" s="91"/>
      <c r="IC454" s="91"/>
      <c r="ID454" s="91"/>
      <c r="IE454" s="91"/>
    </row>
    <row r="455" spans="2:239" ht="15" x14ac:dyDescent="0.2">
      <c r="B455" s="91"/>
      <c r="C455" s="91"/>
      <c r="D455" s="91"/>
      <c r="E455" s="227"/>
      <c r="F455" s="91"/>
      <c r="G455" s="91"/>
      <c r="H455" s="91"/>
      <c r="I455" s="91"/>
      <c r="J455" s="91"/>
      <c r="K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c r="HV455" s="91"/>
      <c r="HW455" s="91"/>
      <c r="HX455" s="91"/>
      <c r="HY455" s="91"/>
      <c r="HZ455" s="91"/>
      <c r="IA455" s="91"/>
      <c r="IB455" s="91"/>
      <c r="IC455" s="91"/>
      <c r="ID455" s="91"/>
      <c r="IE455" s="91"/>
    </row>
    <row r="456" spans="2:239" ht="15" x14ac:dyDescent="0.2">
      <c r="B456" s="91"/>
      <c r="C456" s="91"/>
      <c r="D456" s="91"/>
      <c r="E456" s="227"/>
      <c r="F456" s="91"/>
      <c r="G456" s="91"/>
      <c r="H456" s="91"/>
      <c r="I456" s="91"/>
      <c r="J456" s="91"/>
      <c r="K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c r="HV456" s="91"/>
      <c r="HW456" s="91"/>
      <c r="HX456" s="91"/>
      <c r="HY456" s="91"/>
      <c r="HZ456" s="91"/>
      <c r="IA456" s="91"/>
      <c r="IB456" s="91"/>
      <c r="IC456" s="91"/>
      <c r="ID456" s="91"/>
      <c r="IE456" s="91"/>
    </row>
    <row r="457" spans="2:239" ht="15" x14ac:dyDescent="0.2">
      <c r="B457" s="91"/>
      <c r="C457" s="91"/>
      <c r="D457" s="91"/>
      <c r="E457" s="227"/>
      <c r="F457" s="91"/>
      <c r="G457" s="91"/>
      <c r="H457" s="91"/>
      <c r="I457" s="91"/>
      <c r="J457" s="91"/>
      <c r="K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c r="GU457" s="91"/>
      <c r="GV457" s="91"/>
      <c r="GW457" s="91"/>
      <c r="GX457" s="91"/>
      <c r="GY457" s="91"/>
      <c r="GZ457" s="91"/>
      <c r="HA457" s="91"/>
      <c r="HB457" s="91"/>
      <c r="HC457" s="91"/>
      <c r="HD457" s="91"/>
      <c r="HE457" s="91"/>
      <c r="HF457" s="91"/>
      <c r="HG457" s="91"/>
      <c r="HH457" s="91"/>
      <c r="HI457" s="91"/>
      <c r="HJ457" s="91"/>
      <c r="HK457" s="91"/>
      <c r="HL457" s="91"/>
      <c r="HM457" s="91"/>
      <c r="HN457" s="91"/>
      <c r="HO457" s="91"/>
      <c r="HP457" s="91"/>
      <c r="HQ457" s="91"/>
      <c r="HR457" s="91"/>
      <c r="HS457" s="91"/>
      <c r="HT457" s="91"/>
      <c r="HU457" s="91"/>
      <c r="HV457" s="91"/>
      <c r="HW457" s="91"/>
      <c r="HX457" s="91"/>
      <c r="HY457" s="91"/>
      <c r="HZ457" s="91"/>
      <c r="IA457" s="91"/>
      <c r="IB457" s="91"/>
      <c r="IC457" s="91"/>
      <c r="ID457" s="91"/>
      <c r="IE457" s="91"/>
    </row>
    <row r="458" spans="2:239" ht="15" x14ac:dyDescent="0.2">
      <c r="B458" s="91"/>
      <c r="C458" s="91"/>
      <c r="D458" s="91"/>
      <c r="E458" s="227"/>
      <c r="F458" s="91"/>
      <c r="G458" s="91"/>
      <c r="H458" s="91"/>
      <c r="I458" s="91"/>
      <c r="J458" s="91"/>
      <c r="K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c r="GU458" s="91"/>
      <c r="GV458" s="91"/>
      <c r="GW458" s="91"/>
      <c r="GX458" s="91"/>
      <c r="GY458" s="91"/>
      <c r="GZ458" s="91"/>
      <c r="HA458" s="91"/>
      <c r="HB458" s="91"/>
      <c r="HC458" s="91"/>
      <c r="HD458" s="91"/>
      <c r="HE458" s="91"/>
      <c r="HF458" s="91"/>
      <c r="HG458" s="91"/>
      <c r="HH458" s="91"/>
      <c r="HI458" s="91"/>
      <c r="HJ458" s="91"/>
      <c r="HK458" s="91"/>
      <c r="HL458" s="91"/>
      <c r="HM458" s="91"/>
      <c r="HN458" s="91"/>
      <c r="HO458" s="91"/>
      <c r="HP458" s="91"/>
      <c r="HQ458" s="91"/>
      <c r="HR458" s="91"/>
      <c r="HS458" s="91"/>
      <c r="HT458" s="91"/>
      <c r="HU458" s="91"/>
      <c r="HV458" s="91"/>
      <c r="HW458" s="91"/>
      <c r="HX458" s="91"/>
      <c r="HY458" s="91"/>
      <c r="HZ458" s="91"/>
      <c r="IA458" s="91"/>
      <c r="IB458" s="91"/>
      <c r="IC458" s="91"/>
      <c r="ID458" s="91"/>
      <c r="IE458" s="91"/>
    </row>
    <row r="459" spans="2:239" ht="15" x14ac:dyDescent="0.2">
      <c r="B459" s="91"/>
      <c r="C459" s="91"/>
      <c r="D459" s="91"/>
      <c r="E459" s="227"/>
      <c r="F459" s="91"/>
      <c r="G459" s="91"/>
      <c r="H459" s="91"/>
      <c r="I459" s="91"/>
      <c r="J459" s="91"/>
      <c r="K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c r="GU459" s="91"/>
      <c r="GV459" s="91"/>
      <c r="GW459" s="91"/>
      <c r="GX459" s="91"/>
      <c r="GY459" s="91"/>
      <c r="GZ459" s="91"/>
      <c r="HA459" s="91"/>
      <c r="HB459" s="91"/>
      <c r="HC459" s="91"/>
      <c r="HD459" s="91"/>
      <c r="HE459" s="91"/>
      <c r="HF459" s="91"/>
      <c r="HG459" s="91"/>
      <c r="HH459" s="91"/>
      <c r="HI459" s="91"/>
      <c r="HJ459" s="91"/>
      <c r="HK459" s="91"/>
      <c r="HL459" s="91"/>
      <c r="HM459" s="91"/>
      <c r="HN459" s="91"/>
      <c r="HO459" s="91"/>
      <c r="HP459" s="91"/>
      <c r="HQ459" s="91"/>
      <c r="HR459" s="91"/>
      <c r="HS459" s="91"/>
      <c r="HT459" s="91"/>
      <c r="HU459" s="91"/>
      <c r="HV459" s="91"/>
      <c r="HW459" s="91"/>
      <c r="HX459" s="91"/>
      <c r="HY459" s="91"/>
      <c r="HZ459" s="91"/>
      <c r="IA459" s="91"/>
      <c r="IB459" s="91"/>
      <c r="IC459" s="91"/>
      <c r="ID459" s="91"/>
      <c r="IE459" s="91"/>
    </row>
    <row r="460" spans="2:239" ht="15" x14ac:dyDescent="0.2">
      <c r="B460" s="91"/>
      <c r="C460" s="91"/>
      <c r="D460" s="91"/>
      <c r="E460" s="227"/>
      <c r="F460" s="91"/>
      <c r="G460" s="91"/>
      <c r="H460" s="91"/>
      <c r="I460" s="91"/>
      <c r="J460" s="91"/>
      <c r="K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c r="GU460" s="91"/>
      <c r="GV460" s="91"/>
      <c r="GW460" s="91"/>
      <c r="GX460" s="91"/>
      <c r="GY460" s="91"/>
      <c r="GZ460" s="91"/>
      <c r="HA460" s="91"/>
      <c r="HB460" s="91"/>
      <c r="HC460" s="91"/>
      <c r="HD460" s="91"/>
      <c r="HE460" s="91"/>
      <c r="HF460" s="91"/>
      <c r="HG460" s="91"/>
      <c r="HH460" s="91"/>
      <c r="HI460" s="91"/>
      <c r="HJ460" s="91"/>
      <c r="HK460" s="91"/>
      <c r="HL460" s="91"/>
      <c r="HM460" s="91"/>
      <c r="HN460" s="91"/>
      <c r="HO460" s="91"/>
      <c r="HP460" s="91"/>
      <c r="HQ460" s="91"/>
      <c r="HR460" s="91"/>
      <c r="HS460" s="91"/>
      <c r="HT460" s="91"/>
      <c r="HU460" s="91"/>
      <c r="HV460" s="91"/>
      <c r="HW460" s="91"/>
      <c r="HX460" s="91"/>
      <c r="HY460" s="91"/>
      <c r="HZ460" s="91"/>
      <c r="IA460" s="91"/>
      <c r="IB460" s="91"/>
      <c r="IC460" s="91"/>
      <c r="ID460" s="91"/>
      <c r="IE460" s="91"/>
    </row>
    <row r="461" spans="2:239" ht="15" x14ac:dyDescent="0.2">
      <c r="B461" s="91"/>
      <c r="C461" s="91"/>
      <c r="D461" s="91"/>
      <c r="E461" s="227"/>
      <c r="F461" s="91"/>
      <c r="G461" s="91"/>
      <c r="H461" s="91"/>
      <c r="I461" s="91"/>
      <c r="J461" s="91"/>
      <c r="K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c r="HV461" s="91"/>
      <c r="HW461" s="91"/>
      <c r="HX461" s="91"/>
      <c r="HY461" s="91"/>
      <c r="HZ461" s="91"/>
      <c r="IA461" s="91"/>
      <c r="IB461" s="91"/>
      <c r="IC461" s="91"/>
      <c r="ID461" s="91"/>
      <c r="IE461" s="91"/>
    </row>
    <row r="462" spans="2:239" ht="15" x14ac:dyDescent="0.2">
      <c r="B462" s="91"/>
      <c r="C462" s="91"/>
      <c r="D462" s="91"/>
      <c r="E462" s="227"/>
      <c r="F462" s="91"/>
      <c r="G462" s="91"/>
      <c r="H462" s="91"/>
      <c r="I462" s="91"/>
      <c r="J462" s="91"/>
      <c r="K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c r="HV462" s="91"/>
      <c r="HW462" s="91"/>
      <c r="HX462" s="91"/>
      <c r="HY462" s="91"/>
      <c r="HZ462" s="91"/>
      <c r="IA462" s="91"/>
      <c r="IB462" s="91"/>
      <c r="IC462" s="91"/>
      <c r="ID462" s="91"/>
      <c r="IE462" s="91"/>
    </row>
    <row r="463" spans="2:239" ht="15" x14ac:dyDescent="0.2">
      <c r="B463" s="91"/>
      <c r="C463" s="91"/>
      <c r="D463" s="91"/>
      <c r="E463" s="227"/>
      <c r="F463" s="91"/>
      <c r="G463" s="91"/>
      <c r="H463" s="91"/>
      <c r="I463" s="91"/>
      <c r="J463" s="91"/>
      <c r="K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c r="HV463" s="91"/>
      <c r="HW463" s="91"/>
      <c r="HX463" s="91"/>
      <c r="HY463" s="91"/>
      <c r="HZ463" s="91"/>
      <c r="IA463" s="91"/>
      <c r="IB463" s="91"/>
      <c r="IC463" s="91"/>
      <c r="ID463" s="91"/>
      <c r="IE463" s="91"/>
    </row>
    <row r="464" spans="2:239" ht="15" x14ac:dyDescent="0.2">
      <c r="B464" s="91"/>
      <c r="C464" s="91"/>
      <c r="D464" s="91"/>
      <c r="E464" s="227"/>
      <c r="F464" s="91"/>
      <c r="G464" s="91"/>
      <c r="H464" s="91"/>
      <c r="I464" s="91"/>
      <c r="J464" s="91"/>
      <c r="K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c r="GU464" s="91"/>
      <c r="GV464" s="91"/>
      <c r="GW464" s="91"/>
      <c r="GX464" s="91"/>
      <c r="GY464" s="91"/>
      <c r="GZ464" s="91"/>
      <c r="HA464" s="91"/>
      <c r="HB464" s="91"/>
      <c r="HC464" s="91"/>
      <c r="HD464" s="91"/>
      <c r="HE464" s="91"/>
      <c r="HF464" s="91"/>
      <c r="HG464" s="91"/>
      <c r="HH464" s="91"/>
      <c r="HI464" s="91"/>
      <c r="HJ464" s="91"/>
      <c r="HK464" s="91"/>
      <c r="HL464" s="91"/>
      <c r="HM464" s="91"/>
      <c r="HN464" s="91"/>
      <c r="HO464" s="91"/>
      <c r="HP464" s="91"/>
      <c r="HQ464" s="91"/>
      <c r="HR464" s="91"/>
      <c r="HS464" s="91"/>
      <c r="HT464" s="91"/>
      <c r="HU464" s="91"/>
      <c r="HV464" s="91"/>
      <c r="HW464" s="91"/>
      <c r="HX464" s="91"/>
      <c r="HY464" s="91"/>
      <c r="HZ464" s="91"/>
      <c r="IA464" s="91"/>
      <c r="IB464" s="91"/>
      <c r="IC464" s="91"/>
      <c r="ID464" s="91"/>
      <c r="IE464" s="91"/>
    </row>
    <row r="465" spans="2:239" ht="15" x14ac:dyDescent="0.2">
      <c r="B465" s="91"/>
      <c r="C465" s="91"/>
      <c r="D465" s="91"/>
      <c r="E465" s="227"/>
      <c r="F465" s="91"/>
      <c r="G465" s="91"/>
      <c r="H465" s="91"/>
      <c r="I465" s="91"/>
      <c r="J465" s="91"/>
      <c r="K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c r="HV465" s="91"/>
      <c r="HW465" s="91"/>
      <c r="HX465" s="91"/>
      <c r="HY465" s="91"/>
      <c r="HZ465" s="91"/>
      <c r="IA465" s="91"/>
      <c r="IB465" s="91"/>
      <c r="IC465" s="91"/>
      <c r="ID465" s="91"/>
      <c r="IE465" s="91"/>
    </row>
    <row r="466" spans="2:239" ht="15" x14ac:dyDescent="0.2">
      <c r="B466" s="91"/>
      <c r="C466" s="91"/>
      <c r="D466" s="91"/>
      <c r="E466" s="227"/>
      <c r="F466" s="91"/>
      <c r="G466" s="91"/>
      <c r="H466" s="91"/>
      <c r="I466" s="91"/>
      <c r="J466" s="91"/>
      <c r="K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c r="GU466" s="91"/>
      <c r="GV466" s="91"/>
      <c r="GW466" s="91"/>
      <c r="GX466" s="91"/>
      <c r="GY466" s="91"/>
      <c r="GZ466" s="91"/>
      <c r="HA466" s="91"/>
      <c r="HB466" s="91"/>
      <c r="HC466" s="91"/>
      <c r="HD466" s="91"/>
      <c r="HE466" s="91"/>
      <c r="HF466" s="91"/>
      <c r="HG466" s="91"/>
      <c r="HH466" s="91"/>
      <c r="HI466" s="91"/>
      <c r="HJ466" s="91"/>
      <c r="HK466" s="91"/>
      <c r="HL466" s="91"/>
      <c r="HM466" s="91"/>
      <c r="HN466" s="91"/>
      <c r="HO466" s="91"/>
      <c r="HP466" s="91"/>
      <c r="HQ466" s="91"/>
      <c r="HR466" s="91"/>
      <c r="HS466" s="91"/>
      <c r="HT466" s="91"/>
      <c r="HU466" s="91"/>
      <c r="HV466" s="91"/>
      <c r="HW466" s="91"/>
      <c r="HX466" s="91"/>
      <c r="HY466" s="91"/>
      <c r="HZ466" s="91"/>
      <c r="IA466" s="91"/>
      <c r="IB466" s="91"/>
      <c r="IC466" s="91"/>
      <c r="ID466" s="91"/>
      <c r="IE466" s="91"/>
    </row>
    <row r="467" spans="2:239" ht="15" x14ac:dyDescent="0.2">
      <c r="B467" s="91"/>
      <c r="C467" s="91"/>
      <c r="D467" s="91"/>
      <c r="E467" s="227"/>
      <c r="F467" s="91"/>
      <c r="G467" s="91"/>
      <c r="H467" s="91"/>
      <c r="I467" s="91"/>
      <c r="J467" s="91"/>
      <c r="K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c r="HV467" s="91"/>
      <c r="HW467" s="91"/>
      <c r="HX467" s="91"/>
      <c r="HY467" s="91"/>
      <c r="HZ467" s="91"/>
      <c r="IA467" s="91"/>
      <c r="IB467" s="91"/>
      <c r="IC467" s="91"/>
      <c r="ID467" s="91"/>
      <c r="IE467" s="91"/>
    </row>
    <row r="468" spans="2:239" ht="15" x14ac:dyDescent="0.2">
      <c r="B468" s="91"/>
      <c r="C468" s="91"/>
      <c r="D468" s="91"/>
      <c r="E468" s="227"/>
      <c r="F468" s="91"/>
      <c r="G468" s="91"/>
      <c r="H468" s="91"/>
      <c r="I468" s="91"/>
      <c r="J468" s="91"/>
      <c r="K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c r="GU468" s="91"/>
      <c r="GV468" s="91"/>
      <c r="GW468" s="91"/>
      <c r="GX468" s="91"/>
      <c r="GY468" s="91"/>
      <c r="GZ468" s="91"/>
      <c r="HA468" s="91"/>
      <c r="HB468" s="91"/>
      <c r="HC468" s="91"/>
      <c r="HD468" s="91"/>
      <c r="HE468" s="91"/>
      <c r="HF468" s="91"/>
      <c r="HG468" s="91"/>
      <c r="HH468" s="91"/>
      <c r="HI468" s="91"/>
      <c r="HJ468" s="91"/>
      <c r="HK468" s="91"/>
      <c r="HL468" s="91"/>
      <c r="HM468" s="91"/>
      <c r="HN468" s="91"/>
      <c r="HO468" s="91"/>
      <c r="HP468" s="91"/>
      <c r="HQ468" s="91"/>
      <c r="HR468" s="91"/>
      <c r="HS468" s="91"/>
      <c r="HT468" s="91"/>
      <c r="HU468" s="91"/>
      <c r="HV468" s="91"/>
      <c r="HW468" s="91"/>
      <c r="HX468" s="91"/>
      <c r="HY468" s="91"/>
      <c r="HZ468" s="91"/>
      <c r="IA468" s="91"/>
      <c r="IB468" s="91"/>
      <c r="IC468" s="91"/>
      <c r="ID468" s="91"/>
      <c r="IE468" s="91"/>
    </row>
    <row r="469" spans="2:239" ht="15" x14ac:dyDescent="0.2">
      <c r="B469" s="91"/>
      <c r="C469" s="91"/>
      <c r="D469" s="91"/>
      <c r="E469" s="227"/>
      <c r="F469" s="91"/>
      <c r="G469" s="91"/>
      <c r="H469" s="91"/>
      <c r="I469" s="91"/>
      <c r="J469" s="91"/>
      <c r="K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row>
    <row r="470" spans="2:239" ht="15" x14ac:dyDescent="0.2">
      <c r="B470" s="91"/>
      <c r="C470" s="91"/>
      <c r="D470" s="91"/>
      <c r="E470" s="227"/>
      <c r="F470" s="91"/>
      <c r="G470" s="91"/>
      <c r="H470" s="91"/>
      <c r="I470" s="91"/>
      <c r="J470" s="91"/>
      <c r="K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c r="HV470" s="91"/>
      <c r="HW470" s="91"/>
      <c r="HX470" s="91"/>
      <c r="HY470" s="91"/>
      <c r="HZ470" s="91"/>
      <c r="IA470" s="91"/>
      <c r="IB470" s="91"/>
      <c r="IC470" s="91"/>
      <c r="ID470" s="91"/>
      <c r="IE470" s="91"/>
    </row>
    <row r="471" spans="2:239" ht="15" x14ac:dyDescent="0.2">
      <c r="B471" s="91"/>
      <c r="C471" s="91"/>
      <c r="D471" s="91"/>
      <c r="E471" s="227"/>
      <c r="F471" s="91"/>
      <c r="G471" s="91"/>
      <c r="H471" s="91"/>
      <c r="I471" s="91"/>
      <c r="J471" s="91"/>
      <c r="K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c r="GU471" s="91"/>
      <c r="GV471" s="91"/>
      <c r="GW471" s="91"/>
      <c r="GX471" s="91"/>
      <c r="GY471" s="91"/>
      <c r="GZ471" s="91"/>
      <c r="HA471" s="91"/>
      <c r="HB471" s="91"/>
      <c r="HC471" s="91"/>
      <c r="HD471" s="91"/>
      <c r="HE471" s="91"/>
      <c r="HF471" s="91"/>
      <c r="HG471" s="91"/>
      <c r="HH471" s="91"/>
      <c r="HI471" s="91"/>
      <c r="HJ471" s="91"/>
      <c r="HK471" s="91"/>
      <c r="HL471" s="91"/>
      <c r="HM471" s="91"/>
      <c r="HN471" s="91"/>
      <c r="HO471" s="91"/>
      <c r="HP471" s="91"/>
      <c r="HQ471" s="91"/>
      <c r="HR471" s="91"/>
      <c r="HS471" s="91"/>
      <c r="HT471" s="91"/>
      <c r="HU471" s="91"/>
      <c r="HV471" s="91"/>
      <c r="HW471" s="91"/>
      <c r="HX471" s="91"/>
      <c r="HY471" s="91"/>
      <c r="HZ471" s="91"/>
      <c r="IA471" s="91"/>
      <c r="IB471" s="91"/>
      <c r="IC471" s="91"/>
      <c r="ID471" s="91"/>
      <c r="IE471" s="91"/>
    </row>
    <row r="472" spans="2:239" ht="15" x14ac:dyDescent="0.2">
      <c r="B472" s="91"/>
      <c r="C472" s="91"/>
      <c r="D472" s="91"/>
      <c r="E472" s="227"/>
      <c r="F472" s="91"/>
      <c r="G472" s="91"/>
      <c r="H472" s="91"/>
      <c r="I472" s="91"/>
      <c r="J472" s="91"/>
      <c r="K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c r="GU472" s="91"/>
      <c r="GV472" s="91"/>
      <c r="GW472" s="91"/>
      <c r="GX472" s="91"/>
      <c r="GY472" s="91"/>
      <c r="GZ472" s="91"/>
      <c r="HA472" s="91"/>
      <c r="HB472" s="91"/>
      <c r="HC472" s="91"/>
      <c r="HD472" s="91"/>
      <c r="HE472" s="91"/>
      <c r="HF472" s="91"/>
      <c r="HG472" s="91"/>
      <c r="HH472" s="91"/>
      <c r="HI472" s="91"/>
      <c r="HJ472" s="91"/>
      <c r="HK472" s="91"/>
      <c r="HL472" s="91"/>
      <c r="HM472" s="91"/>
      <c r="HN472" s="91"/>
      <c r="HO472" s="91"/>
      <c r="HP472" s="91"/>
      <c r="HQ472" s="91"/>
      <c r="HR472" s="91"/>
      <c r="HS472" s="91"/>
      <c r="HT472" s="91"/>
      <c r="HU472" s="91"/>
      <c r="HV472" s="91"/>
      <c r="HW472" s="91"/>
      <c r="HX472" s="91"/>
      <c r="HY472" s="91"/>
      <c r="HZ472" s="91"/>
      <c r="IA472" s="91"/>
      <c r="IB472" s="91"/>
      <c r="IC472" s="91"/>
      <c r="ID472" s="91"/>
      <c r="IE472" s="91"/>
    </row>
    <row r="473" spans="2:239" ht="15" x14ac:dyDescent="0.2">
      <c r="B473" s="91"/>
      <c r="C473" s="91"/>
      <c r="D473" s="91"/>
      <c r="E473" s="227"/>
      <c r="F473" s="91"/>
      <c r="G473" s="91"/>
      <c r="H473" s="91"/>
      <c r="I473" s="91"/>
      <c r="J473" s="91"/>
      <c r="K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c r="HV473" s="91"/>
      <c r="HW473" s="91"/>
      <c r="HX473" s="91"/>
      <c r="HY473" s="91"/>
      <c r="HZ473" s="91"/>
      <c r="IA473" s="91"/>
      <c r="IB473" s="91"/>
      <c r="IC473" s="91"/>
      <c r="ID473" s="91"/>
      <c r="IE473" s="91"/>
    </row>
    <row r="474" spans="2:239" ht="15" x14ac:dyDescent="0.2">
      <c r="B474" s="91"/>
      <c r="C474" s="91"/>
      <c r="D474" s="91"/>
      <c r="E474" s="227"/>
      <c r="F474" s="91"/>
      <c r="G474" s="91"/>
      <c r="H474" s="91"/>
      <c r="I474" s="91"/>
      <c r="J474" s="91"/>
      <c r="K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c r="GU474" s="91"/>
      <c r="GV474" s="91"/>
      <c r="GW474" s="91"/>
      <c r="GX474" s="91"/>
      <c r="GY474" s="91"/>
      <c r="GZ474" s="91"/>
      <c r="HA474" s="91"/>
      <c r="HB474" s="91"/>
      <c r="HC474" s="91"/>
      <c r="HD474" s="91"/>
      <c r="HE474" s="91"/>
      <c r="HF474" s="91"/>
      <c r="HG474" s="91"/>
      <c r="HH474" s="91"/>
      <c r="HI474" s="91"/>
      <c r="HJ474" s="91"/>
      <c r="HK474" s="91"/>
      <c r="HL474" s="91"/>
      <c r="HM474" s="91"/>
      <c r="HN474" s="91"/>
      <c r="HO474" s="91"/>
      <c r="HP474" s="91"/>
      <c r="HQ474" s="91"/>
      <c r="HR474" s="91"/>
      <c r="HS474" s="91"/>
      <c r="HT474" s="91"/>
      <c r="HU474" s="91"/>
      <c r="HV474" s="91"/>
      <c r="HW474" s="91"/>
      <c r="HX474" s="91"/>
      <c r="HY474" s="91"/>
      <c r="HZ474" s="91"/>
      <c r="IA474" s="91"/>
      <c r="IB474" s="91"/>
      <c r="IC474" s="91"/>
      <c r="ID474" s="91"/>
      <c r="IE474" s="91"/>
    </row>
    <row r="475" spans="2:239" ht="15" x14ac:dyDescent="0.2">
      <c r="B475" s="91"/>
      <c r="C475" s="91"/>
      <c r="D475" s="91"/>
      <c r="E475" s="227"/>
      <c r="F475" s="91"/>
      <c r="G475" s="91"/>
      <c r="H475" s="91"/>
      <c r="I475" s="91"/>
      <c r="J475" s="91"/>
      <c r="K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c r="GU475" s="91"/>
      <c r="GV475" s="91"/>
      <c r="GW475" s="91"/>
      <c r="GX475" s="91"/>
      <c r="GY475" s="91"/>
      <c r="GZ475" s="91"/>
      <c r="HA475" s="91"/>
      <c r="HB475" s="91"/>
      <c r="HC475" s="91"/>
      <c r="HD475" s="91"/>
      <c r="HE475" s="91"/>
      <c r="HF475" s="91"/>
      <c r="HG475" s="91"/>
      <c r="HH475" s="91"/>
      <c r="HI475" s="91"/>
      <c r="HJ475" s="91"/>
      <c r="HK475" s="91"/>
      <c r="HL475" s="91"/>
      <c r="HM475" s="91"/>
      <c r="HN475" s="91"/>
      <c r="HO475" s="91"/>
      <c r="HP475" s="91"/>
      <c r="HQ475" s="91"/>
      <c r="HR475" s="91"/>
      <c r="HS475" s="91"/>
      <c r="HT475" s="91"/>
      <c r="HU475" s="91"/>
      <c r="HV475" s="91"/>
      <c r="HW475" s="91"/>
      <c r="HX475" s="91"/>
      <c r="HY475" s="91"/>
      <c r="HZ475" s="91"/>
      <c r="IA475" s="91"/>
      <c r="IB475" s="91"/>
      <c r="IC475" s="91"/>
      <c r="ID475" s="91"/>
      <c r="IE475" s="91"/>
    </row>
    <row r="476" spans="2:239" ht="15" x14ac:dyDescent="0.2">
      <c r="B476" s="91"/>
      <c r="C476" s="91"/>
      <c r="D476" s="91"/>
      <c r="E476" s="227"/>
      <c r="F476" s="91"/>
      <c r="G476" s="91"/>
      <c r="H476" s="91"/>
      <c r="I476" s="91"/>
      <c r="J476" s="91"/>
      <c r="K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c r="GU476" s="91"/>
      <c r="GV476" s="91"/>
      <c r="GW476" s="91"/>
      <c r="GX476" s="91"/>
      <c r="GY476" s="91"/>
      <c r="GZ476" s="91"/>
      <c r="HA476" s="91"/>
      <c r="HB476" s="91"/>
      <c r="HC476" s="91"/>
      <c r="HD476" s="91"/>
      <c r="HE476" s="91"/>
      <c r="HF476" s="91"/>
      <c r="HG476" s="91"/>
      <c r="HH476" s="91"/>
      <c r="HI476" s="91"/>
      <c r="HJ476" s="91"/>
      <c r="HK476" s="91"/>
      <c r="HL476" s="91"/>
      <c r="HM476" s="91"/>
      <c r="HN476" s="91"/>
      <c r="HO476" s="91"/>
      <c r="HP476" s="91"/>
      <c r="HQ476" s="91"/>
      <c r="HR476" s="91"/>
      <c r="HS476" s="91"/>
      <c r="HT476" s="91"/>
      <c r="HU476" s="91"/>
      <c r="HV476" s="91"/>
      <c r="HW476" s="91"/>
      <c r="HX476" s="91"/>
      <c r="HY476" s="91"/>
      <c r="HZ476" s="91"/>
      <c r="IA476" s="91"/>
      <c r="IB476" s="91"/>
      <c r="IC476" s="91"/>
      <c r="ID476" s="91"/>
      <c r="IE476" s="91"/>
    </row>
    <row r="477" spans="2:239" ht="15" x14ac:dyDescent="0.2">
      <c r="B477" s="91"/>
      <c r="C477" s="91"/>
      <c r="D477" s="91"/>
      <c r="E477" s="227"/>
      <c r="F477" s="91"/>
      <c r="G477" s="91"/>
      <c r="H477" s="91"/>
      <c r="I477" s="91"/>
      <c r="J477" s="91"/>
      <c r="K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c r="GU477" s="91"/>
      <c r="GV477" s="91"/>
      <c r="GW477" s="91"/>
      <c r="GX477" s="91"/>
      <c r="GY477" s="91"/>
      <c r="GZ477" s="91"/>
      <c r="HA477" s="91"/>
      <c r="HB477" s="91"/>
      <c r="HC477" s="91"/>
      <c r="HD477" s="91"/>
      <c r="HE477" s="91"/>
      <c r="HF477" s="91"/>
      <c r="HG477" s="91"/>
      <c r="HH477" s="91"/>
      <c r="HI477" s="91"/>
      <c r="HJ477" s="91"/>
      <c r="HK477" s="91"/>
      <c r="HL477" s="91"/>
      <c r="HM477" s="91"/>
      <c r="HN477" s="91"/>
      <c r="HO477" s="91"/>
      <c r="HP477" s="91"/>
      <c r="HQ477" s="91"/>
      <c r="HR477" s="91"/>
      <c r="HS477" s="91"/>
      <c r="HT477" s="91"/>
      <c r="HU477" s="91"/>
      <c r="HV477" s="91"/>
      <c r="HW477" s="91"/>
      <c r="HX477" s="91"/>
      <c r="HY477" s="91"/>
      <c r="HZ477" s="91"/>
      <c r="IA477" s="91"/>
      <c r="IB477" s="91"/>
      <c r="IC477" s="91"/>
      <c r="ID477" s="91"/>
      <c r="IE477" s="91"/>
    </row>
    <row r="478" spans="2:239" ht="15" x14ac:dyDescent="0.2">
      <c r="B478" s="91"/>
      <c r="C478" s="91"/>
      <c r="D478" s="91"/>
      <c r="E478" s="227"/>
      <c r="F478" s="91"/>
      <c r="G478" s="91"/>
      <c r="H478" s="91"/>
      <c r="I478" s="91"/>
      <c r="J478" s="91"/>
      <c r="K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c r="HV478" s="91"/>
      <c r="HW478" s="91"/>
      <c r="HX478" s="91"/>
      <c r="HY478" s="91"/>
      <c r="HZ478" s="91"/>
      <c r="IA478" s="91"/>
      <c r="IB478" s="91"/>
      <c r="IC478" s="91"/>
      <c r="ID478" s="91"/>
      <c r="IE478" s="91"/>
    </row>
    <row r="479" spans="2:239" ht="15" x14ac:dyDescent="0.2">
      <c r="B479" s="91"/>
      <c r="C479" s="91"/>
      <c r="D479" s="91"/>
      <c r="E479" s="227"/>
      <c r="F479" s="91"/>
      <c r="G479" s="91"/>
      <c r="H479" s="91"/>
      <c r="I479" s="91"/>
      <c r="J479" s="91"/>
      <c r="K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c r="HV479" s="91"/>
      <c r="HW479" s="91"/>
      <c r="HX479" s="91"/>
      <c r="HY479" s="91"/>
      <c r="HZ479" s="91"/>
      <c r="IA479" s="91"/>
      <c r="IB479" s="91"/>
      <c r="IC479" s="91"/>
      <c r="ID479" s="91"/>
      <c r="IE479" s="91"/>
    </row>
    <row r="480" spans="2:239" ht="15" x14ac:dyDescent="0.2">
      <c r="B480" s="91"/>
      <c r="C480" s="91"/>
      <c r="D480" s="91"/>
      <c r="E480" s="227"/>
      <c r="F480" s="91"/>
      <c r="G480" s="91"/>
      <c r="H480" s="91"/>
      <c r="I480" s="91"/>
      <c r="J480" s="91"/>
      <c r="K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c r="HV480" s="91"/>
      <c r="HW480" s="91"/>
      <c r="HX480" s="91"/>
      <c r="HY480" s="91"/>
      <c r="HZ480" s="91"/>
      <c r="IA480" s="91"/>
      <c r="IB480" s="91"/>
      <c r="IC480" s="91"/>
      <c r="ID480" s="91"/>
      <c r="IE480" s="91"/>
    </row>
    <row r="481" spans="2:239" ht="15" x14ac:dyDescent="0.2">
      <c r="B481" s="91"/>
      <c r="C481" s="91"/>
      <c r="D481" s="91"/>
      <c r="E481" s="227"/>
      <c r="F481" s="91"/>
      <c r="G481" s="91"/>
      <c r="H481" s="91"/>
      <c r="I481" s="91"/>
      <c r="J481" s="91"/>
      <c r="K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c r="GU481" s="91"/>
      <c r="GV481" s="91"/>
      <c r="GW481" s="91"/>
      <c r="GX481" s="91"/>
      <c r="GY481" s="91"/>
      <c r="GZ481" s="91"/>
      <c r="HA481" s="91"/>
      <c r="HB481" s="91"/>
      <c r="HC481" s="91"/>
      <c r="HD481" s="91"/>
      <c r="HE481" s="91"/>
      <c r="HF481" s="91"/>
      <c r="HG481" s="91"/>
      <c r="HH481" s="91"/>
      <c r="HI481" s="91"/>
      <c r="HJ481" s="91"/>
      <c r="HK481" s="91"/>
      <c r="HL481" s="91"/>
      <c r="HM481" s="91"/>
      <c r="HN481" s="91"/>
      <c r="HO481" s="91"/>
      <c r="HP481" s="91"/>
      <c r="HQ481" s="91"/>
      <c r="HR481" s="91"/>
      <c r="HS481" s="91"/>
      <c r="HT481" s="91"/>
      <c r="HU481" s="91"/>
      <c r="HV481" s="91"/>
      <c r="HW481" s="91"/>
      <c r="HX481" s="91"/>
      <c r="HY481" s="91"/>
      <c r="HZ481" s="91"/>
      <c r="IA481" s="91"/>
      <c r="IB481" s="91"/>
      <c r="IC481" s="91"/>
      <c r="ID481" s="91"/>
      <c r="IE481" s="91"/>
    </row>
    <row r="482" spans="2:239" ht="15" x14ac:dyDescent="0.2">
      <c r="B482" s="91"/>
      <c r="C482" s="91"/>
      <c r="D482" s="91"/>
      <c r="E482" s="227"/>
      <c r="F482" s="91"/>
      <c r="G482" s="91"/>
      <c r="H482" s="91"/>
      <c r="I482" s="91"/>
      <c r="J482" s="91"/>
      <c r="K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c r="GU482" s="91"/>
      <c r="GV482" s="91"/>
      <c r="GW482" s="91"/>
      <c r="GX482" s="91"/>
      <c r="GY482" s="91"/>
      <c r="GZ482" s="91"/>
      <c r="HA482" s="91"/>
      <c r="HB482" s="91"/>
      <c r="HC482" s="91"/>
      <c r="HD482" s="91"/>
      <c r="HE482" s="91"/>
      <c r="HF482" s="91"/>
      <c r="HG482" s="91"/>
      <c r="HH482" s="91"/>
      <c r="HI482" s="91"/>
      <c r="HJ482" s="91"/>
      <c r="HK482" s="91"/>
      <c r="HL482" s="91"/>
      <c r="HM482" s="91"/>
      <c r="HN482" s="91"/>
      <c r="HO482" s="91"/>
      <c r="HP482" s="91"/>
      <c r="HQ482" s="91"/>
      <c r="HR482" s="91"/>
      <c r="HS482" s="91"/>
      <c r="HT482" s="91"/>
      <c r="HU482" s="91"/>
      <c r="HV482" s="91"/>
      <c r="HW482" s="91"/>
      <c r="HX482" s="91"/>
      <c r="HY482" s="91"/>
      <c r="HZ482" s="91"/>
      <c r="IA482" s="91"/>
      <c r="IB482" s="91"/>
      <c r="IC482" s="91"/>
      <c r="ID482" s="91"/>
      <c r="IE482" s="91"/>
    </row>
    <row r="483" spans="2:239" ht="15" x14ac:dyDescent="0.2">
      <c r="B483" s="91"/>
      <c r="C483" s="91"/>
      <c r="D483" s="91"/>
      <c r="E483" s="227"/>
      <c r="F483" s="91"/>
      <c r="G483" s="91"/>
      <c r="H483" s="91"/>
      <c r="I483" s="91"/>
      <c r="J483" s="91"/>
      <c r="K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c r="GU483" s="91"/>
      <c r="GV483" s="91"/>
      <c r="GW483" s="91"/>
      <c r="GX483" s="91"/>
      <c r="GY483" s="91"/>
      <c r="GZ483" s="91"/>
      <c r="HA483" s="91"/>
      <c r="HB483" s="91"/>
      <c r="HC483" s="91"/>
      <c r="HD483" s="91"/>
      <c r="HE483" s="91"/>
      <c r="HF483" s="91"/>
      <c r="HG483" s="91"/>
      <c r="HH483" s="91"/>
      <c r="HI483" s="91"/>
      <c r="HJ483" s="91"/>
      <c r="HK483" s="91"/>
      <c r="HL483" s="91"/>
      <c r="HM483" s="91"/>
      <c r="HN483" s="91"/>
      <c r="HO483" s="91"/>
      <c r="HP483" s="91"/>
      <c r="HQ483" s="91"/>
      <c r="HR483" s="91"/>
      <c r="HS483" s="91"/>
      <c r="HT483" s="91"/>
      <c r="HU483" s="91"/>
      <c r="HV483" s="91"/>
      <c r="HW483" s="91"/>
      <c r="HX483" s="91"/>
      <c r="HY483" s="91"/>
      <c r="HZ483" s="91"/>
      <c r="IA483" s="91"/>
      <c r="IB483" s="91"/>
      <c r="IC483" s="91"/>
      <c r="ID483" s="91"/>
      <c r="IE483" s="91"/>
    </row>
    <row r="484" spans="2:239" ht="15" x14ac:dyDescent="0.2">
      <c r="B484" s="91"/>
      <c r="C484" s="91"/>
      <c r="D484" s="91"/>
      <c r="E484" s="227"/>
      <c r="F484" s="91"/>
      <c r="G484" s="91"/>
      <c r="H484" s="91"/>
      <c r="I484" s="91"/>
      <c r="J484" s="91"/>
      <c r="K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c r="HV484" s="91"/>
      <c r="HW484" s="91"/>
      <c r="HX484" s="91"/>
      <c r="HY484" s="91"/>
      <c r="HZ484" s="91"/>
      <c r="IA484" s="91"/>
      <c r="IB484" s="91"/>
      <c r="IC484" s="91"/>
      <c r="ID484" s="91"/>
      <c r="IE484" s="91"/>
    </row>
    <row r="485" spans="2:239" ht="15" x14ac:dyDescent="0.2">
      <c r="B485" s="91"/>
      <c r="C485" s="91"/>
      <c r="D485" s="91"/>
      <c r="E485" s="227"/>
      <c r="F485" s="91"/>
      <c r="G485" s="91"/>
      <c r="H485" s="91"/>
      <c r="I485" s="91"/>
      <c r="J485" s="91"/>
      <c r="K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c r="HV485" s="91"/>
      <c r="HW485" s="91"/>
      <c r="HX485" s="91"/>
      <c r="HY485" s="91"/>
      <c r="HZ485" s="91"/>
      <c r="IA485" s="91"/>
      <c r="IB485" s="91"/>
      <c r="IC485" s="91"/>
      <c r="ID485" s="91"/>
      <c r="IE485" s="91"/>
    </row>
    <row r="486" spans="2:239" ht="15" x14ac:dyDescent="0.2">
      <c r="B486" s="91"/>
      <c r="C486" s="91"/>
      <c r="D486" s="91"/>
      <c r="E486" s="227"/>
      <c r="F486" s="91"/>
      <c r="G486" s="91"/>
      <c r="H486" s="91"/>
      <c r="I486" s="91"/>
      <c r="J486" s="91"/>
      <c r="K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c r="HV486" s="91"/>
      <c r="HW486" s="91"/>
      <c r="HX486" s="91"/>
      <c r="HY486" s="91"/>
      <c r="HZ486" s="91"/>
      <c r="IA486" s="91"/>
      <c r="IB486" s="91"/>
      <c r="IC486" s="91"/>
      <c r="ID486" s="91"/>
      <c r="IE486" s="91"/>
    </row>
    <row r="487" spans="2:239" ht="15" x14ac:dyDescent="0.2">
      <c r="B487" s="91"/>
      <c r="C487" s="91"/>
      <c r="D487" s="91"/>
      <c r="E487" s="227"/>
      <c r="F487" s="91"/>
      <c r="G487" s="91"/>
      <c r="H487" s="91"/>
      <c r="I487" s="91"/>
      <c r="J487" s="91"/>
      <c r="K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c r="HV487" s="91"/>
      <c r="HW487" s="91"/>
      <c r="HX487" s="91"/>
      <c r="HY487" s="91"/>
      <c r="HZ487" s="91"/>
      <c r="IA487" s="91"/>
      <c r="IB487" s="91"/>
      <c r="IC487" s="91"/>
      <c r="ID487" s="91"/>
      <c r="IE487" s="91"/>
    </row>
    <row r="488" spans="2:239" ht="15" x14ac:dyDescent="0.2">
      <c r="B488" s="91"/>
      <c r="C488" s="91"/>
      <c r="D488" s="91"/>
      <c r="E488" s="227"/>
      <c r="F488" s="91"/>
      <c r="G488" s="91"/>
      <c r="H488" s="91"/>
      <c r="I488" s="91"/>
      <c r="J488" s="91"/>
      <c r="K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c r="GU488" s="91"/>
      <c r="GV488" s="91"/>
      <c r="GW488" s="91"/>
      <c r="GX488" s="91"/>
      <c r="GY488" s="91"/>
      <c r="GZ488" s="91"/>
      <c r="HA488" s="91"/>
      <c r="HB488" s="91"/>
      <c r="HC488" s="91"/>
      <c r="HD488" s="91"/>
      <c r="HE488" s="91"/>
      <c r="HF488" s="91"/>
      <c r="HG488" s="91"/>
      <c r="HH488" s="91"/>
      <c r="HI488" s="91"/>
      <c r="HJ488" s="91"/>
      <c r="HK488" s="91"/>
      <c r="HL488" s="91"/>
      <c r="HM488" s="91"/>
      <c r="HN488" s="91"/>
      <c r="HO488" s="91"/>
      <c r="HP488" s="91"/>
      <c r="HQ488" s="91"/>
      <c r="HR488" s="91"/>
      <c r="HS488" s="91"/>
      <c r="HT488" s="91"/>
      <c r="HU488" s="91"/>
      <c r="HV488" s="91"/>
      <c r="HW488" s="91"/>
      <c r="HX488" s="91"/>
      <c r="HY488" s="91"/>
      <c r="HZ488" s="91"/>
      <c r="IA488" s="91"/>
      <c r="IB488" s="91"/>
      <c r="IC488" s="91"/>
      <c r="ID488" s="91"/>
      <c r="IE488" s="91"/>
    </row>
    <row r="489" spans="2:239" ht="15" x14ac:dyDescent="0.2">
      <c r="B489" s="91"/>
      <c r="C489" s="91"/>
      <c r="D489" s="91"/>
      <c r="E489" s="227"/>
      <c r="F489" s="91"/>
      <c r="G489" s="91"/>
      <c r="H489" s="91"/>
      <c r="I489" s="91"/>
      <c r="J489" s="91"/>
      <c r="K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c r="GU489" s="91"/>
      <c r="GV489" s="91"/>
      <c r="GW489" s="91"/>
      <c r="GX489" s="91"/>
      <c r="GY489" s="91"/>
      <c r="GZ489" s="91"/>
      <c r="HA489" s="91"/>
      <c r="HB489" s="91"/>
      <c r="HC489" s="91"/>
      <c r="HD489" s="91"/>
      <c r="HE489" s="91"/>
      <c r="HF489" s="91"/>
      <c r="HG489" s="91"/>
      <c r="HH489" s="91"/>
      <c r="HI489" s="91"/>
      <c r="HJ489" s="91"/>
      <c r="HK489" s="91"/>
      <c r="HL489" s="91"/>
      <c r="HM489" s="91"/>
      <c r="HN489" s="91"/>
      <c r="HO489" s="91"/>
      <c r="HP489" s="91"/>
      <c r="HQ489" s="91"/>
      <c r="HR489" s="91"/>
      <c r="HS489" s="91"/>
      <c r="HT489" s="91"/>
      <c r="HU489" s="91"/>
      <c r="HV489" s="91"/>
      <c r="HW489" s="91"/>
      <c r="HX489" s="91"/>
      <c r="HY489" s="91"/>
      <c r="HZ489" s="91"/>
      <c r="IA489" s="91"/>
      <c r="IB489" s="91"/>
      <c r="IC489" s="91"/>
      <c r="ID489" s="91"/>
      <c r="IE489" s="91"/>
    </row>
    <row r="490" spans="2:239" ht="15" x14ac:dyDescent="0.2">
      <c r="B490" s="91"/>
      <c r="C490" s="91"/>
      <c r="D490" s="91"/>
      <c r="E490" s="227"/>
      <c r="F490" s="91"/>
      <c r="G490" s="91"/>
      <c r="H490" s="91"/>
      <c r="I490" s="91"/>
      <c r="J490" s="91"/>
      <c r="K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c r="HV490" s="91"/>
      <c r="HW490" s="91"/>
      <c r="HX490" s="91"/>
      <c r="HY490" s="91"/>
      <c r="HZ490" s="91"/>
      <c r="IA490" s="91"/>
      <c r="IB490" s="91"/>
      <c r="IC490" s="91"/>
      <c r="ID490" s="91"/>
      <c r="IE490" s="91"/>
    </row>
    <row r="491" spans="2:239" ht="15" x14ac:dyDescent="0.2">
      <c r="B491" s="91"/>
      <c r="C491" s="91"/>
      <c r="D491" s="91"/>
      <c r="E491" s="227"/>
      <c r="F491" s="91"/>
      <c r="G491" s="91"/>
      <c r="H491" s="91"/>
      <c r="I491" s="91"/>
      <c r="J491" s="91"/>
      <c r="K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c r="GU491" s="91"/>
      <c r="GV491" s="91"/>
      <c r="GW491" s="91"/>
      <c r="GX491" s="91"/>
      <c r="GY491" s="91"/>
      <c r="GZ491" s="91"/>
      <c r="HA491" s="91"/>
      <c r="HB491" s="91"/>
      <c r="HC491" s="91"/>
      <c r="HD491" s="91"/>
      <c r="HE491" s="91"/>
      <c r="HF491" s="91"/>
      <c r="HG491" s="91"/>
      <c r="HH491" s="91"/>
      <c r="HI491" s="91"/>
      <c r="HJ491" s="91"/>
      <c r="HK491" s="91"/>
      <c r="HL491" s="91"/>
      <c r="HM491" s="91"/>
      <c r="HN491" s="91"/>
      <c r="HO491" s="91"/>
      <c r="HP491" s="91"/>
      <c r="HQ491" s="91"/>
      <c r="HR491" s="91"/>
      <c r="HS491" s="91"/>
      <c r="HT491" s="91"/>
      <c r="HU491" s="91"/>
      <c r="HV491" s="91"/>
      <c r="HW491" s="91"/>
      <c r="HX491" s="91"/>
      <c r="HY491" s="91"/>
      <c r="HZ491" s="91"/>
      <c r="IA491" s="91"/>
      <c r="IB491" s="91"/>
      <c r="IC491" s="91"/>
      <c r="ID491" s="91"/>
      <c r="IE491" s="91"/>
    </row>
    <row r="492" spans="2:239" ht="15" x14ac:dyDescent="0.2">
      <c r="B492" s="91"/>
      <c r="C492" s="91"/>
      <c r="D492" s="91"/>
      <c r="E492" s="227"/>
      <c r="F492" s="91"/>
      <c r="G492" s="91"/>
      <c r="H492" s="91"/>
      <c r="I492" s="91"/>
      <c r="J492" s="91"/>
      <c r="K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c r="HV492" s="91"/>
      <c r="HW492" s="91"/>
      <c r="HX492" s="91"/>
      <c r="HY492" s="91"/>
      <c r="HZ492" s="91"/>
      <c r="IA492" s="91"/>
      <c r="IB492" s="91"/>
      <c r="IC492" s="91"/>
      <c r="ID492" s="91"/>
      <c r="IE492" s="91"/>
    </row>
    <row r="493" spans="2:239" ht="15" x14ac:dyDescent="0.2">
      <c r="B493" s="91"/>
      <c r="C493" s="91"/>
      <c r="D493" s="91"/>
      <c r="E493" s="227"/>
      <c r="F493" s="91"/>
      <c r="G493" s="91"/>
      <c r="H493" s="91"/>
      <c r="I493" s="91"/>
      <c r="J493" s="91"/>
      <c r="K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c r="GU493" s="91"/>
      <c r="GV493" s="91"/>
      <c r="GW493" s="91"/>
      <c r="GX493" s="91"/>
      <c r="GY493" s="91"/>
      <c r="GZ493" s="91"/>
      <c r="HA493" s="91"/>
      <c r="HB493" s="91"/>
      <c r="HC493" s="91"/>
      <c r="HD493" s="91"/>
      <c r="HE493" s="91"/>
      <c r="HF493" s="91"/>
      <c r="HG493" s="91"/>
      <c r="HH493" s="91"/>
      <c r="HI493" s="91"/>
      <c r="HJ493" s="91"/>
      <c r="HK493" s="91"/>
      <c r="HL493" s="91"/>
      <c r="HM493" s="91"/>
      <c r="HN493" s="91"/>
      <c r="HO493" s="91"/>
      <c r="HP493" s="91"/>
      <c r="HQ493" s="91"/>
      <c r="HR493" s="91"/>
      <c r="HS493" s="91"/>
      <c r="HT493" s="91"/>
      <c r="HU493" s="91"/>
      <c r="HV493" s="91"/>
      <c r="HW493" s="91"/>
      <c r="HX493" s="91"/>
      <c r="HY493" s="91"/>
      <c r="HZ493" s="91"/>
      <c r="IA493" s="91"/>
      <c r="IB493" s="91"/>
      <c r="IC493" s="91"/>
      <c r="ID493" s="91"/>
      <c r="IE493" s="91"/>
    </row>
    <row r="494" spans="2:239" ht="15" x14ac:dyDescent="0.2">
      <c r="B494" s="91"/>
      <c r="C494" s="91"/>
      <c r="D494" s="91"/>
      <c r="E494" s="227"/>
      <c r="F494" s="91"/>
      <c r="G494" s="91"/>
      <c r="H494" s="91"/>
      <c r="I494" s="91"/>
      <c r="J494" s="91"/>
      <c r="K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c r="HV494" s="91"/>
      <c r="HW494" s="91"/>
      <c r="HX494" s="91"/>
      <c r="HY494" s="91"/>
      <c r="HZ494" s="91"/>
      <c r="IA494" s="91"/>
      <c r="IB494" s="91"/>
      <c r="IC494" s="91"/>
      <c r="ID494" s="91"/>
      <c r="IE494" s="91"/>
    </row>
    <row r="495" spans="2:239" ht="15" x14ac:dyDescent="0.2">
      <c r="B495" s="91"/>
      <c r="C495" s="91"/>
      <c r="D495" s="91"/>
      <c r="E495" s="227"/>
      <c r="F495" s="91"/>
      <c r="G495" s="91"/>
      <c r="H495" s="91"/>
      <c r="I495" s="91"/>
      <c r="J495" s="91"/>
      <c r="K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c r="HV495" s="91"/>
      <c r="HW495" s="91"/>
      <c r="HX495" s="91"/>
      <c r="HY495" s="91"/>
      <c r="HZ495" s="91"/>
      <c r="IA495" s="91"/>
      <c r="IB495" s="91"/>
      <c r="IC495" s="91"/>
      <c r="ID495" s="91"/>
      <c r="IE495" s="91"/>
    </row>
    <row r="496" spans="2:239" ht="15" x14ac:dyDescent="0.2">
      <c r="B496" s="91"/>
      <c r="C496" s="91"/>
      <c r="D496" s="91"/>
      <c r="E496" s="227"/>
      <c r="F496" s="91"/>
      <c r="G496" s="91"/>
      <c r="H496" s="91"/>
      <c r="I496" s="91"/>
      <c r="J496" s="91"/>
      <c r="K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c r="HV496" s="91"/>
      <c r="HW496" s="91"/>
      <c r="HX496" s="91"/>
      <c r="HY496" s="91"/>
      <c r="HZ496" s="91"/>
      <c r="IA496" s="91"/>
      <c r="IB496" s="91"/>
      <c r="IC496" s="91"/>
      <c r="ID496" s="91"/>
      <c r="IE496" s="91"/>
    </row>
    <row r="497" spans="2:239" ht="15" x14ac:dyDescent="0.2">
      <c r="B497" s="91"/>
      <c r="C497" s="91"/>
      <c r="D497" s="91"/>
      <c r="E497" s="227"/>
      <c r="F497" s="91"/>
      <c r="G497" s="91"/>
      <c r="H497" s="91"/>
      <c r="I497" s="91"/>
      <c r="J497" s="91"/>
      <c r="K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c r="HV497" s="91"/>
      <c r="HW497" s="91"/>
      <c r="HX497" s="91"/>
      <c r="HY497" s="91"/>
      <c r="HZ497" s="91"/>
      <c r="IA497" s="91"/>
      <c r="IB497" s="91"/>
      <c r="IC497" s="91"/>
      <c r="ID497" s="91"/>
      <c r="IE497" s="91"/>
    </row>
    <row r="498" spans="2:239" ht="15" x14ac:dyDescent="0.2">
      <c r="B498" s="91"/>
      <c r="C498" s="91"/>
      <c r="D498" s="91"/>
      <c r="E498" s="227"/>
      <c r="F498" s="91"/>
      <c r="G498" s="91"/>
      <c r="H498" s="91"/>
      <c r="I498" s="91"/>
      <c r="J498" s="91"/>
      <c r="K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c r="HV498" s="91"/>
      <c r="HW498" s="91"/>
      <c r="HX498" s="91"/>
      <c r="HY498" s="91"/>
      <c r="HZ498" s="91"/>
      <c r="IA498" s="91"/>
      <c r="IB498" s="91"/>
      <c r="IC498" s="91"/>
      <c r="ID498" s="91"/>
      <c r="IE498" s="91"/>
    </row>
    <row r="499" spans="2:239" ht="15" x14ac:dyDescent="0.2">
      <c r="B499" s="91"/>
      <c r="C499" s="91"/>
      <c r="D499" s="91"/>
      <c r="E499" s="227"/>
      <c r="F499" s="91"/>
      <c r="G499" s="91"/>
      <c r="H499" s="91"/>
      <c r="I499" s="91"/>
      <c r="J499" s="91"/>
      <c r="K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c r="GU499" s="91"/>
      <c r="GV499" s="91"/>
      <c r="GW499" s="91"/>
      <c r="GX499" s="91"/>
      <c r="GY499" s="91"/>
      <c r="GZ499" s="91"/>
      <c r="HA499" s="91"/>
      <c r="HB499" s="91"/>
      <c r="HC499" s="91"/>
      <c r="HD499" s="91"/>
      <c r="HE499" s="91"/>
      <c r="HF499" s="91"/>
      <c r="HG499" s="91"/>
      <c r="HH499" s="91"/>
      <c r="HI499" s="91"/>
      <c r="HJ499" s="91"/>
      <c r="HK499" s="91"/>
      <c r="HL499" s="91"/>
      <c r="HM499" s="91"/>
      <c r="HN499" s="91"/>
      <c r="HO499" s="91"/>
      <c r="HP499" s="91"/>
      <c r="HQ499" s="91"/>
      <c r="HR499" s="91"/>
      <c r="HS499" s="91"/>
      <c r="HT499" s="91"/>
      <c r="HU499" s="91"/>
      <c r="HV499" s="91"/>
      <c r="HW499" s="91"/>
      <c r="HX499" s="91"/>
      <c r="HY499" s="91"/>
      <c r="HZ499" s="91"/>
      <c r="IA499" s="91"/>
      <c r="IB499" s="91"/>
      <c r="IC499" s="91"/>
      <c r="ID499" s="91"/>
      <c r="IE499" s="91"/>
    </row>
    <row r="500" spans="2:239" ht="15" x14ac:dyDescent="0.2">
      <c r="B500" s="91"/>
      <c r="C500" s="91"/>
      <c r="D500" s="91"/>
      <c r="E500" s="227"/>
      <c r="F500" s="91"/>
      <c r="G500" s="91"/>
      <c r="H500" s="91"/>
      <c r="I500" s="91"/>
      <c r="J500" s="91"/>
      <c r="K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c r="GU500" s="91"/>
      <c r="GV500" s="91"/>
      <c r="GW500" s="91"/>
      <c r="GX500" s="91"/>
      <c r="GY500" s="91"/>
      <c r="GZ500" s="91"/>
      <c r="HA500" s="91"/>
      <c r="HB500" s="91"/>
      <c r="HC500" s="91"/>
      <c r="HD500" s="91"/>
      <c r="HE500" s="91"/>
      <c r="HF500" s="91"/>
      <c r="HG500" s="91"/>
      <c r="HH500" s="91"/>
      <c r="HI500" s="91"/>
      <c r="HJ500" s="91"/>
      <c r="HK500" s="91"/>
      <c r="HL500" s="91"/>
      <c r="HM500" s="91"/>
      <c r="HN500" s="91"/>
      <c r="HO500" s="91"/>
      <c r="HP500" s="91"/>
      <c r="HQ500" s="91"/>
      <c r="HR500" s="91"/>
      <c r="HS500" s="91"/>
      <c r="HT500" s="91"/>
      <c r="HU500" s="91"/>
      <c r="HV500" s="91"/>
      <c r="HW500" s="91"/>
      <c r="HX500" s="91"/>
      <c r="HY500" s="91"/>
      <c r="HZ500" s="91"/>
      <c r="IA500" s="91"/>
      <c r="IB500" s="91"/>
      <c r="IC500" s="91"/>
      <c r="ID500" s="91"/>
      <c r="IE500" s="91"/>
    </row>
    <row r="501" spans="2:239" ht="15" x14ac:dyDescent="0.2">
      <c r="B501" s="91"/>
      <c r="C501" s="91"/>
      <c r="D501" s="91"/>
      <c r="E501" s="227"/>
      <c r="F501" s="91"/>
      <c r="G501" s="91"/>
      <c r="H501" s="91"/>
      <c r="I501" s="91"/>
      <c r="J501" s="91"/>
      <c r="K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c r="GU501" s="91"/>
      <c r="GV501" s="91"/>
      <c r="GW501" s="91"/>
      <c r="GX501" s="91"/>
      <c r="GY501" s="91"/>
      <c r="GZ501" s="91"/>
      <c r="HA501" s="91"/>
      <c r="HB501" s="91"/>
      <c r="HC501" s="91"/>
      <c r="HD501" s="91"/>
      <c r="HE501" s="91"/>
      <c r="HF501" s="91"/>
      <c r="HG501" s="91"/>
      <c r="HH501" s="91"/>
      <c r="HI501" s="91"/>
      <c r="HJ501" s="91"/>
      <c r="HK501" s="91"/>
      <c r="HL501" s="91"/>
      <c r="HM501" s="91"/>
      <c r="HN501" s="91"/>
      <c r="HO501" s="91"/>
      <c r="HP501" s="91"/>
      <c r="HQ501" s="91"/>
      <c r="HR501" s="91"/>
      <c r="HS501" s="91"/>
      <c r="HT501" s="91"/>
      <c r="HU501" s="91"/>
      <c r="HV501" s="91"/>
      <c r="HW501" s="91"/>
      <c r="HX501" s="91"/>
      <c r="HY501" s="91"/>
      <c r="HZ501" s="91"/>
      <c r="IA501" s="91"/>
      <c r="IB501" s="91"/>
      <c r="IC501" s="91"/>
      <c r="ID501" s="91"/>
      <c r="IE501" s="91"/>
    </row>
    <row r="502" spans="2:239" ht="15" x14ac:dyDescent="0.2">
      <c r="B502" s="91"/>
      <c r="C502" s="91"/>
      <c r="D502" s="91"/>
      <c r="E502" s="227"/>
      <c r="F502" s="91"/>
      <c r="G502" s="91"/>
      <c r="H502" s="91"/>
      <c r="I502" s="91"/>
      <c r="J502" s="91"/>
      <c r="K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c r="GU502" s="91"/>
      <c r="GV502" s="91"/>
      <c r="GW502" s="91"/>
      <c r="GX502" s="91"/>
      <c r="GY502" s="91"/>
      <c r="GZ502" s="91"/>
      <c r="HA502" s="91"/>
      <c r="HB502" s="91"/>
      <c r="HC502" s="91"/>
      <c r="HD502" s="91"/>
      <c r="HE502" s="91"/>
      <c r="HF502" s="91"/>
      <c r="HG502" s="91"/>
      <c r="HH502" s="91"/>
      <c r="HI502" s="91"/>
      <c r="HJ502" s="91"/>
      <c r="HK502" s="91"/>
      <c r="HL502" s="91"/>
      <c r="HM502" s="91"/>
      <c r="HN502" s="91"/>
      <c r="HO502" s="91"/>
      <c r="HP502" s="91"/>
      <c r="HQ502" s="91"/>
      <c r="HR502" s="91"/>
      <c r="HS502" s="91"/>
      <c r="HT502" s="91"/>
      <c r="HU502" s="91"/>
      <c r="HV502" s="91"/>
      <c r="HW502" s="91"/>
      <c r="HX502" s="91"/>
      <c r="HY502" s="91"/>
      <c r="HZ502" s="91"/>
      <c r="IA502" s="91"/>
      <c r="IB502" s="91"/>
      <c r="IC502" s="91"/>
      <c r="ID502" s="91"/>
      <c r="IE502" s="91"/>
    </row>
    <row r="503" spans="2:239" ht="15" x14ac:dyDescent="0.2">
      <c r="B503" s="91"/>
      <c r="C503" s="91"/>
      <c r="D503" s="91"/>
      <c r="E503" s="227"/>
      <c r="F503" s="91"/>
      <c r="G503" s="91"/>
      <c r="H503" s="91"/>
      <c r="I503" s="91"/>
      <c r="J503" s="91"/>
      <c r="K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c r="GU503" s="91"/>
      <c r="GV503" s="91"/>
      <c r="GW503" s="91"/>
      <c r="GX503" s="91"/>
      <c r="GY503" s="91"/>
      <c r="GZ503" s="91"/>
      <c r="HA503" s="91"/>
      <c r="HB503" s="91"/>
      <c r="HC503" s="91"/>
      <c r="HD503" s="91"/>
      <c r="HE503" s="91"/>
      <c r="HF503" s="91"/>
      <c r="HG503" s="91"/>
      <c r="HH503" s="91"/>
      <c r="HI503" s="91"/>
      <c r="HJ503" s="91"/>
      <c r="HK503" s="91"/>
      <c r="HL503" s="91"/>
      <c r="HM503" s="91"/>
      <c r="HN503" s="91"/>
      <c r="HO503" s="91"/>
      <c r="HP503" s="91"/>
      <c r="HQ503" s="91"/>
      <c r="HR503" s="91"/>
      <c r="HS503" s="91"/>
      <c r="HT503" s="91"/>
      <c r="HU503" s="91"/>
      <c r="HV503" s="91"/>
      <c r="HW503" s="91"/>
      <c r="HX503" s="91"/>
      <c r="HY503" s="91"/>
      <c r="HZ503" s="91"/>
      <c r="IA503" s="91"/>
      <c r="IB503" s="91"/>
      <c r="IC503" s="91"/>
      <c r="ID503" s="91"/>
      <c r="IE503" s="91"/>
    </row>
    <row r="504" spans="2:239" ht="15" x14ac:dyDescent="0.2">
      <c r="B504" s="91"/>
      <c r="C504" s="91"/>
      <c r="D504" s="91"/>
      <c r="E504" s="227"/>
      <c r="F504" s="91"/>
      <c r="G504" s="91"/>
      <c r="H504" s="91"/>
      <c r="I504" s="91"/>
      <c r="J504" s="91"/>
      <c r="K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c r="GU504" s="91"/>
      <c r="GV504" s="91"/>
      <c r="GW504" s="91"/>
      <c r="GX504" s="91"/>
      <c r="GY504" s="91"/>
      <c r="GZ504" s="91"/>
      <c r="HA504" s="91"/>
      <c r="HB504" s="91"/>
      <c r="HC504" s="91"/>
      <c r="HD504" s="91"/>
      <c r="HE504" s="91"/>
      <c r="HF504" s="91"/>
      <c r="HG504" s="91"/>
      <c r="HH504" s="91"/>
      <c r="HI504" s="91"/>
      <c r="HJ504" s="91"/>
      <c r="HK504" s="91"/>
      <c r="HL504" s="91"/>
      <c r="HM504" s="91"/>
      <c r="HN504" s="91"/>
      <c r="HO504" s="91"/>
      <c r="HP504" s="91"/>
      <c r="HQ504" s="91"/>
      <c r="HR504" s="91"/>
      <c r="HS504" s="91"/>
      <c r="HT504" s="91"/>
      <c r="HU504" s="91"/>
      <c r="HV504" s="91"/>
      <c r="HW504" s="91"/>
      <c r="HX504" s="91"/>
      <c r="HY504" s="91"/>
      <c r="HZ504" s="91"/>
      <c r="IA504" s="91"/>
      <c r="IB504" s="91"/>
      <c r="IC504" s="91"/>
      <c r="ID504" s="91"/>
      <c r="IE504" s="91"/>
    </row>
    <row r="505" spans="2:239" ht="15" x14ac:dyDescent="0.2">
      <c r="B505" s="91"/>
      <c r="C505" s="91"/>
      <c r="D505" s="91"/>
      <c r="E505" s="227"/>
      <c r="F505" s="91"/>
      <c r="G505" s="91"/>
      <c r="H505" s="91"/>
      <c r="I505" s="91"/>
      <c r="J505" s="91"/>
      <c r="K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c r="GU505" s="91"/>
      <c r="GV505" s="91"/>
      <c r="GW505" s="91"/>
      <c r="GX505" s="91"/>
      <c r="GY505" s="91"/>
      <c r="GZ505" s="91"/>
      <c r="HA505" s="91"/>
      <c r="HB505" s="91"/>
      <c r="HC505" s="91"/>
      <c r="HD505" s="91"/>
      <c r="HE505" s="91"/>
      <c r="HF505" s="91"/>
      <c r="HG505" s="91"/>
      <c r="HH505" s="91"/>
      <c r="HI505" s="91"/>
      <c r="HJ505" s="91"/>
      <c r="HK505" s="91"/>
      <c r="HL505" s="91"/>
      <c r="HM505" s="91"/>
      <c r="HN505" s="91"/>
      <c r="HO505" s="91"/>
      <c r="HP505" s="91"/>
      <c r="HQ505" s="91"/>
      <c r="HR505" s="91"/>
      <c r="HS505" s="91"/>
      <c r="HT505" s="91"/>
      <c r="HU505" s="91"/>
      <c r="HV505" s="91"/>
      <c r="HW505" s="91"/>
      <c r="HX505" s="91"/>
      <c r="HY505" s="91"/>
      <c r="HZ505" s="91"/>
      <c r="IA505" s="91"/>
      <c r="IB505" s="91"/>
      <c r="IC505" s="91"/>
      <c r="ID505" s="91"/>
      <c r="IE505" s="91"/>
    </row>
    <row r="506" spans="2:239" ht="15" x14ac:dyDescent="0.2">
      <c r="B506" s="91"/>
      <c r="C506" s="91"/>
      <c r="D506" s="91"/>
      <c r="E506" s="227"/>
      <c r="F506" s="91"/>
      <c r="G506" s="91"/>
      <c r="H506" s="91"/>
      <c r="I506" s="91"/>
      <c r="J506" s="91"/>
      <c r="K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c r="GU506" s="91"/>
      <c r="GV506" s="91"/>
      <c r="GW506" s="91"/>
      <c r="GX506" s="91"/>
      <c r="GY506" s="91"/>
      <c r="GZ506" s="91"/>
      <c r="HA506" s="91"/>
      <c r="HB506" s="91"/>
      <c r="HC506" s="91"/>
      <c r="HD506" s="91"/>
      <c r="HE506" s="91"/>
      <c r="HF506" s="91"/>
      <c r="HG506" s="91"/>
      <c r="HH506" s="91"/>
      <c r="HI506" s="91"/>
      <c r="HJ506" s="91"/>
      <c r="HK506" s="91"/>
      <c r="HL506" s="91"/>
      <c r="HM506" s="91"/>
      <c r="HN506" s="91"/>
      <c r="HO506" s="91"/>
      <c r="HP506" s="91"/>
      <c r="HQ506" s="91"/>
      <c r="HR506" s="91"/>
      <c r="HS506" s="91"/>
      <c r="HT506" s="91"/>
      <c r="HU506" s="91"/>
      <c r="HV506" s="91"/>
      <c r="HW506" s="91"/>
      <c r="HX506" s="91"/>
      <c r="HY506" s="91"/>
      <c r="HZ506" s="91"/>
      <c r="IA506" s="91"/>
      <c r="IB506" s="91"/>
      <c r="IC506" s="91"/>
      <c r="ID506" s="91"/>
      <c r="IE506" s="91"/>
    </row>
    <row r="507" spans="2:239" ht="15" x14ac:dyDescent="0.2">
      <c r="B507" s="91"/>
      <c r="C507" s="91"/>
      <c r="D507" s="91"/>
      <c r="E507" s="227"/>
      <c r="F507" s="91"/>
      <c r="G507" s="91"/>
      <c r="H507" s="91"/>
      <c r="I507" s="91"/>
      <c r="J507" s="91"/>
      <c r="K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c r="GU507" s="91"/>
      <c r="GV507" s="91"/>
      <c r="GW507" s="91"/>
      <c r="GX507" s="91"/>
      <c r="GY507" s="91"/>
      <c r="GZ507" s="91"/>
      <c r="HA507" s="91"/>
      <c r="HB507" s="91"/>
      <c r="HC507" s="91"/>
      <c r="HD507" s="91"/>
      <c r="HE507" s="91"/>
      <c r="HF507" s="91"/>
      <c r="HG507" s="91"/>
      <c r="HH507" s="91"/>
      <c r="HI507" s="91"/>
      <c r="HJ507" s="91"/>
      <c r="HK507" s="91"/>
      <c r="HL507" s="91"/>
      <c r="HM507" s="91"/>
      <c r="HN507" s="91"/>
      <c r="HO507" s="91"/>
      <c r="HP507" s="91"/>
      <c r="HQ507" s="91"/>
      <c r="HR507" s="91"/>
      <c r="HS507" s="91"/>
      <c r="HT507" s="91"/>
      <c r="HU507" s="91"/>
      <c r="HV507" s="91"/>
      <c r="HW507" s="91"/>
      <c r="HX507" s="91"/>
      <c r="HY507" s="91"/>
      <c r="HZ507" s="91"/>
      <c r="IA507" s="91"/>
      <c r="IB507" s="91"/>
      <c r="IC507" s="91"/>
      <c r="ID507" s="91"/>
      <c r="IE507" s="91"/>
    </row>
    <row r="508" spans="2:239" ht="15" x14ac:dyDescent="0.2">
      <c r="B508" s="91"/>
      <c r="C508" s="91"/>
      <c r="D508" s="91"/>
      <c r="E508" s="227"/>
      <c r="F508" s="91"/>
      <c r="G508" s="91"/>
      <c r="H508" s="91"/>
      <c r="I508" s="91"/>
      <c r="J508" s="91"/>
      <c r="K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c r="GU508" s="91"/>
      <c r="GV508" s="91"/>
      <c r="GW508" s="91"/>
      <c r="GX508" s="91"/>
      <c r="GY508" s="91"/>
      <c r="GZ508" s="91"/>
      <c r="HA508" s="91"/>
      <c r="HB508" s="91"/>
      <c r="HC508" s="91"/>
      <c r="HD508" s="91"/>
      <c r="HE508" s="91"/>
      <c r="HF508" s="91"/>
      <c r="HG508" s="91"/>
      <c r="HH508" s="91"/>
      <c r="HI508" s="91"/>
      <c r="HJ508" s="91"/>
      <c r="HK508" s="91"/>
      <c r="HL508" s="91"/>
      <c r="HM508" s="91"/>
      <c r="HN508" s="91"/>
      <c r="HO508" s="91"/>
      <c r="HP508" s="91"/>
      <c r="HQ508" s="91"/>
      <c r="HR508" s="91"/>
      <c r="HS508" s="91"/>
      <c r="HT508" s="91"/>
      <c r="HU508" s="91"/>
      <c r="HV508" s="91"/>
      <c r="HW508" s="91"/>
      <c r="HX508" s="91"/>
      <c r="HY508" s="91"/>
      <c r="HZ508" s="91"/>
      <c r="IA508" s="91"/>
      <c r="IB508" s="91"/>
      <c r="IC508" s="91"/>
      <c r="ID508" s="91"/>
      <c r="IE508" s="91"/>
    </row>
    <row r="509" spans="2:239" ht="15" x14ac:dyDescent="0.2">
      <c r="B509" s="91"/>
      <c r="C509" s="91"/>
      <c r="D509" s="91"/>
      <c r="E509" s="227"/>
      <c r="F509" s="91"/>
      <c r="G509" s="91"/>
      <c r="H509" s="91"/>
      <c r="I509" s="91"/>
      <c r="J509" s="91"/>
      <c r="K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c r="GU509" s="91"/>
      <c r="GV509" s="91"/>
      <c r="GW509" s="91"/>
      <c r="GX509" s="91"/>
      <c r="GY509" s="91"/>
      <c r="GZ509" s="91"/>
      <c r="HA509" s="91"/>
      <c r="HB509" s="91"/>
      <c r="HC509" s="91"/>
      <c r="HD509" s="91"/>
      <c r="HE509" s="91"/>
      <c r="HF509" s="91"/>
      <c r="HG509" s="91"/>
      <c r="HH509" s="91"/>
      <c r="HI509" s="91"/>
      <c r="HJ509" s="91"/>
      <c r="HK509" s="91"/>
      <c r="HL509" s="91"/>
      <c r="HM509" s="91"/>
      <c r="HN509" s="91"/>
      <c r="HO509" s="91"/>
      <c r="HP509" s="91"/>
      <c r="HQ509" s="91"/>
      <c r="HR509" s="91"/>
      <c r="HS509" s="91"/>
      <c r="HT509" s="91"/>
      <c r="HU509" s="91"/>
      <c r="HV509" s="91"/>
      <c r="HW509" s="91"/>
      <c r="HX509" s="91"/>
      <c r="HY509" s="91"/>
      <c r="HZ509" s="91"/>
      <c r="IA509" s="91"/>
      <c r="IB509" s="91"/>
      <c r="IC509" s="91"/>
      <c r="ID509" s="91"/>
      <c r="IE509" s="91"/>
    </row>
    <row r="510" spans="2:239" ht="15" x14ac:dyDescent="0.2">
      <c r="B510" s="91"/>
      <c r="C510" s="91"/>
      <c r="D510" s="91"/>
      <c r="E510" s="227"/>
      <c r="F510" s="91"/>
      <c r="G510" s="91"/>
      <c r="H510" s="91"/>
      <c r="I510" s="91"/>
      <c r="J510" s="91"/>
      <c r="K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c r="GU510" s="91"/>
      <c r="GV510" s="91"/>
      <c r="GW510" s="91"/>
      <c r="GX510" s="91"/>
      <c r="GY510" s="91"/>
      <c r="GZ510" s="91"/>
      <c r="HA510" s="91"/>
      <c r="HB510" s="91"/>
      <c r="HC510" s="91"/>
      <c r="HD510" s="91"/>
      <c r="HE510" s="91"/>
      <c r="HF510" s="91"/>
      <c r="HG510" s="91"/>
      <c r="HH510" s="91"/>
      <c r="HI510" s="91"/>
      <c r="HJ510" s="91"/>
      <c r="HK510" s="91"/>
      <c r="HL510" s="91"/>
      <c r="HM510" s="91"/>
      <c r="HN510" s="91"/>
      <c r="HO510" s="91"/>
      <c r="HP510" s="91"/>
      <c r="HQ510" s="91"/>
      <c r="HR510" s="91"/>
      <c r="HS510" s="91"/>
      <c r="HT510" s="91"/>
      <c r="HU510" s="91"/>
      <c r="HV510" s="91"/>
      <c r="HW510" s="91"/>
      <c r="HX510" s="91"/>
      <c r="HY510" s="91"/>
      <c r="HZ510" s="91"/>
      <c r="IA510" s="91"/>
      <c r="IB510" s="91"/>
      <c r="IC510" s="91"/>
      <c r="ID510" s="91"/>
      <c r="IE510" s="91"/>
    </row>
    <row r="511" spans="2:239" ht="15" x14ac:dyDescent="0.2">
      <c r="B511" s="91"/>
      <c r="C511" s="91"/>
      <c r="D511" s="91"/>
      <c r="E511" s="227"/>
      <c r="F511" s="91"/>
      <c r="G511" s="91"/>
      <c r="H511" s="91"/>
      <c r="I511" s="91"/>
      <c r="J511" s="91"/>
      <c r="K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c r="GU511" s="91"/>
      <c r="GV511" s="91"/>
      <c r="GW511" s="91"/>
      <c r="GX511" s="91"/>
      <c r="GY511" s="91"/>
      <c r="GZ511" s="91"/>
      <c r="HA511" s="91"/>
      <c r="HB511" s="91"/>
      <c r="HC511" s="91"/>
      <c r="HD511" s="91"/>
      <c r="HE511" s="91"/>
      <c r="HF511" s="91"/>
      <c r="HG511" s="91"/>
      <c r="HH511" s="91"/>
      <c r="HI511" s="91"/>
      <c r="HJ511" s="91"/>
      <c r="HK511" s="91"/>
      <c r="HL511" s="91"/>
      <c r="HM511" s="91"/>
      <c r="HN511" s="91"/>
      <c r="HO511" s="91"/>
      <c r="HP511" s="91"/>
      <c r="HQ511" s="91"/>
      <c r="HR511" s="91"/>
      <c r="HS511" s="91"/>
      <c r="HT511" s="91"/>
      <c r="HU511" s="91"/>
      <c r="HV511" s="91"/>
      <c r="HW511" s="91"/>
      <c r="HX511" s="91"/>
      <c r="HY511" s="91"/>
      <c r="HZ511" s="91"/>
      <c r="IA511" s="91"/>
      <c r="IB511" s="91"/>
      <c r="IC511" s="91"/>
      <c r="ID511" s="91"/>
      <c r="IE511" s="91"/>
    </row>
    <row r="512" spans="2:239" ht="15" x14ac:dyDescent="0.2">
      <c r="B512" s="91"/>
      <c r="C512" s="91"/>
      <c r="D512" s="91"/>
      <c r="E512" s="227"/>
      <c r="F512" s="91"/>
      <c r="G512" s="91"/>
      <c r="H512" s="91"/>
      <c r="I512" s="91"/>
      <c r="J512" s="91"/>
      <c r="K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c r="GU512" s="91"/>
      <c r="GV512" s="91"/>
      <c r="GW512" s="91"/>
      <c r="GX512" s="91"/>
      <c r="GY512" s="91"/>
      <c r="GZ512" s="91"/>
      <c r="HA512" s="91"/>
      <c r="HB512" s="91"/>
      <c r="HC512" s="91"/>
      <c r="HD512" s="91"/>
      <c r="HE512" s="91"/>
      <c r="HF512" s="91"/>
      <c r="HG512" s="91"/>
      <c r="HH512" s="91"/>
      <c r="HI512" s="91"/>
      <c r="HJ512" s="91"/>
      <c r="HK512" s="91"/>
      <c r="HL512" s="91"/>
      <c r="HM512" s="91"/>
      <c r="HN512" s="91"/>
      <c r="HO512" s="91"/>
      <c r="HP512" s="91"/>
      <c r="HQ512" s="91"/>
      <c r="HR512" s="91"/>
      <c r="HS512" s="91"/>
      <c r="HT512" s="91"/>
      <c r="HU512" s="91"/>
      <c r="HV512" s="91"/>
      <c r="HW512" s="91"/>
      <c r="HX512" s="91"/>
      <c r="HY512" s="91"/>
      <c r="HZ512" s="91"/>
      <c r="IA512" s="91"/>
      <c r="IB512" s="91"/>
      <c r="IC512" s="91"/>
      <c r="ID512" s="91"/>
      <c r="IE512" s="91"/>
    </row>
    <row r="513" spans="2:239" ht="15" x14ac:dyDescent="0.2">
      <c r="B513" s="91"/>
      <c r="C513" s="91"/>
      <c r="D513" s="91"/>
      <c r="E513" s="227"/>
      <c r="F513" s="91"/>
      <c r="G513" s="91"/>
      <c r="H513" s="91"/>
      <c r="I513" s="91"/>
      <c r="J513" s="91"/>
      <c r="K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c r="GU513" s="91"/>
      <c r="GV513" s="91"/>
      <c r="GW513" s="91"/>
      <c r="GX513" s="91"/>
      <c r="GY513" s="91"/>
      <c r="GZ513" s="91"/>
      <c r="HA513" s="91"/>
      <c r="HB513" s="91"/>
      <c r="HC513" s="91"/>
      <c r="HD513" s="91"/>
      <c r="HE513" s="91"/>
      <c r="HF513" s="91"/>
      <c r="HG513" s="91"/>
      <c r="HH513" s="91"/>
      <c r="HI513" s="91"/>
      <c r="HJ513" s="91"/>
      <c r="HK513" s="91"/>
      <c r="HL513" s="91"/>
      <c r="HM513" s="91"/>
      <c r="HN513" s="91"/>
      <c r="HO513" s="91"/>
      <c r="HP513" s="91"/>
      <c r="HQ513" s="91"/>
      <c r="HR513" s="91"/>
      <c r="HS513" s="91"/>
      <c r="HT513" s="91"/>
      <c r="HU513" s="91"/>
      <c r="HV513" s="91"/>
      <c r="HW513" s="91"/>
      <c r="HX513" s="91"/>
      <c r="HY513" s="91"/>
      <c r="HZ513" s="91"/>
      <c r="IA513" s="91"/>
      <c r="IB513" s="91"/>
      <c r="IC513" s="91"/>
      <c r="ID513" s="91"/>
      <c r="IE513" s="91"/>
    </row>
    <row r="514" spans="2:239" ht="15" x14ac:dyDescent="0.2">
      <c r="B514" s="91"/>
      <c r="C514" s="91"/>
      <c r="D514" s="91"/>
      <c r="E514" s="227"/>
      <c r="F514" s="91"/>
      <c r="G514" s="91"/>
      <c r="H514" s="91"/>
      <c r="I514" s="91"/>
      <c r="J514" s="91"/>
      <c r="K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c r="GU514" s="91"/>
      <c r="GV514" s="91"/>
      <c r="GW514" s="91"/>
      <c r="GX514" s="91"/>
      <c r="GY514" s="91"/>
      <c r="GZ514" s="91"/>
      <c r="HA514" s="91"/>
      <c r="HB514" s="91"/>
      <c r="HC514" s="91"/>
      <c r="HD514" s="91"/>
      <c r="HE514" s="91"/>
      <c r="HF514" s="91"/>
      <c r="HG514" s="91"/>
      <c r="HH514" s="91"/>
      <c r="HI514" s="91"/>
      <c r="HJ514" s="91"/>
      <c r="HK514" s="91"/>
      <c r="HL514" s="91"/>
      <c r="HM514" s="91"/>
      <c r="HN514" s="91"/>
      <c r="HO514" s="91"/>
      <c r="HP514" s="91"/>
      <c r="HQ514" s="91"/>
      <c r="HR514" s="91"/>
      <c r="HS514" s="91"/>
      <c r="HT514" s="91"/>
      <c r="HU514" s="91"/>
      <c r="HV514" s="91"/>
      <c r="HW514" s="91"/>
      <c r="HX514" s="91"/>
      <c r="HY514" s="91"/>
      <c r="HZ514" s="91"/>
      <c r="IA514" s="91"/>
      <c r="IB514" s="91"/>
      <c r="IC514" s="91"/>
      <c r="ID514" s="91"/>
      <c r="IE514" s="91"/>
    </row>
    <row r="515" spans="2:239" ht="15" x14ac:dyDescent="0.2">
      <c r="B515" s="91"/>
      <c r="C515" s="91"/>
      <c r="D515" s="91"/>
      <c r="E515" s="227"/>
      <c r="F515" s="91"/>
      <c r="G515" s="91"/>
      <c r="H515" s="91"/>
      <c r="I515" s="91"/>
      <c r="J515" s="91"/>
      <c r="K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c r="GU515" s="91"/>
      <c r="GV515" s="91"/>
      <c r="GW515" s="91"/>
      <c r="GX515" s="91"/>
      <c r="GY515" s="91"/>
      <c r="GZ515" s="91"/>
      <c r="HA515" s="91"/>
      <c r="HB515" s="91"/>
      <c r="HC515" s="91"/>
      <c r="HD515" s="91"/>
      <c r="HE515" s="91"/>
      <c r="HF515" s="91"/>
      <c r="HG515" s="91"/>
      <c r="HH515" s="91"/>
      <c r="HI515" s="91"/>
      <c r="HJ515" s="91"/>
      <c r="HK515" s="91"/>
      <c r="HL515" s="91"/>
      <c r="HM515" s="91"/>
      <c r="HN515" s="91"/>
      <c r="HO515" s="91"/>
      <c r="HP515" s="91"/>
      <c r="HQ515" s="91"/>
      <c r="HR515" s="91"/>
      <c r="HS515" s="91"/>
      <c r="HT515" s="91"/>
      <c r="HU515" s="91"/>
      <c r="HV515" s="91"/>
      <c r="HW515" s="91"/>
      <c r="HX515" s="91"/>
      <c r="HY515" s="91"/>
      <c r="HZ515" s="91"/>
      <c r="IA515" s="91"/>
      <c r="IB515" s="91"/>
      <c r="IC515" s="91"/>
      <c r="ID515" s="91"/>
      <c r="IE515" s="91"/>
    </row>
    <row r="516" spans="2:239" ht="15" x14ac:dyDescent="0.2">
      <c r="B516" s="91"/>
      <c r="C516" s="91"/>
      <c r="D516" s="91"/>
      <c r="E516" s="227"/>
      <c r="F516" s="91"/>
      <c r="G516" s="91"/>
      <c r="H516" s="91"/>
      <c r="I516" s="91"/>
      <c r="J516" s="91"/>
      <c r="K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c r="GU516" s="91"/>
      <c r="GV516" s="91"/>
      <c r="GW516" s="91"/>
      <c r="GX516" s="91"/>
      <c r="GY516" s="91"/>
      <c r="GZ516" s="91"/>
      <c r="HA516" s="91"/>
      <c r="HB516" s="91"/>
      <c r="HC516" s="91"/>
      <c r="HD516" s="91"/>
      <c r="HE516" s="91"/>
      <c r="HF516" s="91"/>
      <c r="HG516" s="91"/>
      <c r="HH516" s="91"/>
      <c r="HI516" s="91"/>
      <c r="HJ516" s="91"/>
      <c r="HK516" s="91"/>
      <c r="HL516" s="91"/>
      <c r="HM516" s="91"/>
      <c r="HN516" s="91"/>
      <c r="HO516" s="91"/>
      <c r="HP516" s="91"/>
      <c r="HQ516" s="91"/>
      <c r="HR516" s="91"/>
      <c r="HS516" s="91"/>
      <c r="HT516" s="91"/>
      <c r="HU516" s="91"/>
      <c r="HV516" s="91"/>
      <c r="HW516" s="91"/>
      <c r="HX516" s="91"/>
      <c r="HY516" s="91"/>
      <c r="HZ516" s="91"/>
      <c r="IA516" s="91"/>
      <c r="IB516" s="91"/>
      <c r="IC516" s="91"/>
      <c r="ID516" s="91"/>
      <c r="IE516" s="91"/>
    </row>
    <row r="517" spans="2:239" ht="15" x14ac:dyDescent="0.2">
      <c r="B517" s="91"/>
      <c r="C517" s="91"/>
      <c r="D517" s="91"/>
      <c r="E517" s="227"/>
      <c r="F517" s="91"/>
      <c r="G517" s="91"/>
      <c r="H517" s="91"/>
      <c r="I517" s="91"/>
      <c r="J517" s="91"/>
      <c r="K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c r="HV517" s="91"/>
      <c r="HW517" s="91"/>
      <c r="HX517" s="91"/>
      <c r="HY517" s="91"/>
      <c r="HZ517" s="91"/>
      <c r="IA517" s="91"/>
      <c r="IB517" s="91"/>
      <c r="IC517" s="91"/>
      <c r="ID517" s="91"/>
      <c r="IE517" s="91"/>
    </row>
    <row r="518" spans="2:239" ht="15" x14ac:dyDescent="0.2">
      <c r="B518" s="91"/>
      <c r="C518" s="91"/>
      <c r="D518" s="91"/>
      <c r="E518" s="227"/>
      <c r="F518" s="91"/>
      <c r="G518" s="91"/>
      <c r="H518" s="91"/>
      <c r="I518" s="91"/>
      <c r="J518" s="91"/>
      <c r="K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c r="HV518" s="91"/>
      <c r="HW518" s="91"/>
      <c r="HX518" s="91"/>
      <c r="HY518" s="91"/>
      <c r="HZ518" s="91"/>
      <c r="IA518" s="91"/>
      <c r="IB518" s="91"/>
      <c r="IC518" s="91"/>
      <c r="ID518" s="91"/>
      <c r="IE518" s="91"/>
    </row>
    <row r="519" spans="2:239" ht="15" x14ac:dyDescent="0.2">
      <c r="B519" s="91"/>
      <c r="C519" s="91"/>
      <c r="D519" s="91"/>
      <c r="E519" s="227"/>
      <c r="F519" s="91"/>
      <c r="G519" s="91"/>
      <c r="H519" s="91"/>
      <c r="I519" s="91"/>
      <c r="J519" s="91"/>
      <c r="K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c r="GU519" s="91"/>
      <c r="GV519" s="91"/>
      <c r="GW519" s="91"/>
      <c r="GX519" s="91"/>
      <c r="GY519" s="91"/>
      <c r="GZ519" s="91"/>
      <c r="HA519" s="91"/>
      <c r="HB519" s="91"/>
      <c r="HC519" s="91"/>
      <c r="HD519" s="91"/>
      <c r="HE519" s="91"/>
      <c r="HF519" s="91"/>
      <c r="HG519" s="91"/>
      <c r="HH519" s="91"/>
      <c r="HI519" s="91"/>
      <c r="HJ519" s="91"/>
      <c r="HK519" s="91"/>
      <c r="HL519" s="91"/>
      <c r="HM519" s="91"/>
      <c r="HN519" s="91"/>
      <c r="HO519" s="91"/>
      <c r="HP519" s="91"/>
      <c r="HQ519" s="91"/>
      <c r="HR519" s="91"/>
      <c r="HS519" s="91"/>
      <c r="HT519" s="91"/>
      <c r="HU519" s="91"/>
      <c r="HV519" s="91"/>
      <c r="HW519" s="91"/>
      <c r="HX519" s="91"/>
      <c r="HY519" s="91"/>
      <c r="HZ519" s="91"/>
      <c r="IA519" s="91"/>
      <c r="IB519" s="91"/>
      <c r="IC519" s="91"/>
      <c r="ID519" s="91"/>
      <c r="IE519" s="91"/>
    </row>
    <row r="520" spans="2:239" ht="15" x14ac:dyDescent="0.2">
      <c r="B520" s="91"/>
      <c r="C520" s="91"/>
      <c r="D520" s="91"/>
      <c r="E520" s="227"/>
      <c r="F520" s="91"/>
      <c r="G520" s="91"/>
      <c r="H520" s="91"/>
      <c r="I520" s="91"/>
      <c r="J520" s="91"/>
      <c r="K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c r="GU520" s="91"/>
      <c r="GV520" s="91"/>
      <c r="GW520" s="91"/>
      <c r="GX520" s="91"/>
      <c r="GY520" s="91"/>
      <c r="GZ520" s="91"/>
      <c r="HA520" s="91"/>
      <c r="HB520" s="91"/>
      <c r="HC520" s="91"/>
      <c r="HD520" s="91"/>
      <c r="HE520" s="91"/>
      <c r="HF520" s="91"/>
      <c r="HG520" s="91"/>
      <c r="HH520" s="91"/>
      <c r="HI520" s="91"/>
      <c r="HJ520" s="91"/>
      <c r="HK520" s="91"/>
      <c r="HL520" s="91"/>
      <c r="HM520" s="91"/>
      <c r="HN520" s="91"/>
      <c r="HO520" s="91"/>
      <c r="HP520" s="91"/>
      <c r="HQ520" s="91"/>
      <c r="HR520" s="91"/>
      <c r="HS520" s="91"/>
      <c r="HT520" s="91"/>
      <c r="HU520" s="91"/>
      <c r="HV520" s="91"/>
      <c r="HW520" s="91"/>
      <c r="HX520" s="91"/>
      <c r="HY520" s="91"/>
      <c r="HZ520" s="91"/>
      <c r="IA520" s="91"/>
      <c r="IB520" s="91"/>
      <c r="IC520" s="91"/>
      <c r="ID520" s="91"/>
      <c r="IE520" s="91"/>
    </row>
    <row r="521" spans="2:239" ht="15" x14ac:dyDescent="0.2">
      <c r="B521" s="91"/>
      <c r="C521" s="91"/>
      <c r="D521" s="91"/>
      <c r="E521" s="227"/>
      <c r="F521" s="91"/>
      <c r="G521" s="91"/>
      <c r="H521" s="91"/>
      <c r="I521" s="91"/>
      <c r="J521" s="91"/>
      <c r="K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c r="HV521" s="91"/>
      <c r="HW521" s="91"/>
      <c r="HX521" s="91"/>
      <c r="HY521" s="91"/>
      <c r="HZ521" s="91"/>
      <c r="IA521" s="91"/>
      <c r="IB521" s="91"/>
      <c r="IC521" s="91"/>
      <c r="ID521" s="91"/>
      <c r="IE521" s="91"/>
    </row>
    <row r="522" spans="2:239" ht="15" x14ac:dyDescent="0.2">
      <c r="B522" s="91"/>
      <c r="C522" s="91"/>
      <c r="D522" s="91"/>
      <c r="E522" s="227"/>
      <c r="F522" s="91"/>
      <c r="G522" s="91"/>
      <c r="H522" s="91"/>
      <c r="I522" s="91"/>
      <c r="J522" s="91"/>
      <c r="K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c r="GU522" s="91"/>
      <c r="GV522" s="91"/>
      <c r="GW522" s="91"/>
      <c r="GX522" s="91"/>
      <c r="GY522" s="91"/>
      <c r="GZ522" s="91"/>
      <c r="HA522" s="91"/>
      <c r="HB522" s="91"/>
      <c r="HC522" s="91"/>
      <c r="HD522" s="91"/>
      <c r="HE522" s="91"/>
      <c r="HF522" s="91"/>
      <c r="HG522" s="91"/>
      <c r="HH522" s="91"/>
      <c r="HI522" s="91"/>
      <c r="HJ522" s="91"/>
      <c r="HK522" s="91"/>
      <c r="HL522" s="91"/>
      <c r="HM522" s="91"/>
      <c r="HN522" s="91"/>
      <c r="HO522" s="91"/>
      <c r="HP522" s="91"/>
      <c r="HQ522" s="91"/>
      <c r="HR522" s="91"/>
      <c r="HS522" s="91"/>
      <c r="HT522" s="91"/>
      <c r="HU522" s="91"/>
      <c r="HV522" s="91"/>
      <c r="HW522" s="91"/>
      <c r="HX522" s="91"/>
      <c r="HY522" s="91"/>
      <c r="HZ522" s="91"/>
      <c r="IA522" s="91"/>
      <c r="IB522" s="91"/>
      <c r="IC522" s="91"/>
      <c r="ID522" s="91"/>
      <c r="IE522" s="91"/>
    </row>
    <row r="523" spans="2:239" ht="15" x14ac:dyDescent="0.2">
      <c r="B523" s="91"/>
      <c r="C523" s="91"/>
      <c r="D523" s="91"/>
      <c r="E523" s="227"/>
      <c r="F523" s="91"/>
      <c r="G523" s="91"/>
      <c r="H523" s="91"/>
      <c r="I523" s="91"/>
      <c r="J523" s="91"/>
      <c r="K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c r="GU523" s="91"/>
      <c r="GV523" s="91"/>
      <c r="GW523" s="91"/>
      <c r="GX523" s="91"/>
      <c r="GY523" s="91"/>
      <c r="GZ523" s="91"/>
      <c r="HA523" s="91"/>
      <c r="HB523" s="91"/>
      <c r="HC523" s="91"/>
      <c r="HD523" s="91"/>
      <c r="HE523" s="91"/>
      <c r="HF523" s="91"/>
      <c r="HG523" s="91"/>
      <c r="HH523" s="91"/>
      <c r="HI523" s="91"/>
      <c r="HJ523" s="91"/>
      <c r="HK523" s="91"/>
      <c r="HL523" s="91"/>
      <c r="HM523" s="91"/>
      <c r="HN523" s="91"/>
      <c r="HO523" s="91"/>
      <c r="HP523" s="91"/>
      <c r="HQ523" s="91"/>
      <c r="HR523" s="91"/>
      <c r="HS523" s="91"/>
      <c r="HT523" s="91"/>
      <c r="HU523" s="91"/>
      <c r="HV523" s="91"/>
      <c r="HW523" s="91"/>
      <c r="HX523" s="91"/>
      <c r="HY523" s="91"/>
      <c r="HZ523" s="91"/>
      <c r="IA523" s="91"/>
      <c r="IB523" s="91"/>
      <c r="IC523" s="91"/>
      <c r="ID523" s="91"/>
      <c r="IE523" s="91"/>
    </row>
    <row r="524" spans="2:239" ht="15" x14ac:dyDescent="0.2">
      <c r="B524" s="91"/>
      <c r="C524" s="91"/>
      <c r="D524" s="91"/>
      <c r="E524" s="227"/>
      <c r="F524" s="91"/>
      <c r="G524" s="91"/>
      <c r="H524" s="91"/>
      <c r="I524" s="91"/>
      <c r="J524" s="91"/>
      <c r="K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c r="GU524" s="91"/>
      <c r="GV524" s="91"/>
      <c r="GW524" s="91"/>
      <c r="GX524" s="91"/>
      <c r="GY524" s="91"/>
      <c r="GZ524" s="91"/>
      <c r="HA524" s="91"/>
      <c r="HB524" s="91"/>
      <c r="HC524" s="91"/>
      <c r="HD524" s="91"/>
      <c r="HE524" s="91"/>
      <c r="HF524" s="91"/>
      <c r="HG524" s="91"/>
      <c r="HH524" s="91"/>
      <c r="HI524" s="91"/>
      <c r="HJ524" s="91"/>
      <c r="HK524" s="91"/>
      <c r="HL524" s="91"/>
      <c r="HM524" s="91"/>
      <c r="HN524" s="91"/>
      <c r="HO524" s="91"/>
      <c r="HP524" s="91"/>
      <c r="HQ524" s="91"/>
      <c r="HR524" s="91"/>
      <c r="HS524" s="91"/>
      <c r="HT524" s="91"/>
      <c r="HU524" s="91"/>
      <c r="HV524" s="91"/>
      <c r="HW524" s="91"/>
      <c r="HX524" s="91"/>
      <c r="HY524" s="91"/>
      <c r="HZ524" s="91"/>
      <c r="IA524" s="91"/>
      <c r="IB524" s="91"/>
      <c r="IC524" s="91"/>
      <c r="ID524" s="91"/>
      <c r="IE524" s="91"/>
    </row>
    <row r="525" spans="2:239" ht="15" x14ac:dyDescent="0.2">
      <c r="B525" s="91"/>
      <c r="C525" s="91"/>
      <c r="D525" s="91"/>
      <c r="E525" s="227"/>
      <c r="F525" s="91"/>
      <c r="G525" s="91"/>
      <c r="H525" s="91"/>
      <c r="I525" s="91"/>
      <c r="J525" s="91"/>
      <c r="K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c r="GU525" s="91"/>
      <c r="GV525" s="91"/>
      <c r="GW525" s="91"/>
      <c r="GX525" s="91"/>
      <c r="GY525" s="91"/>
      <c r="GZ525" s="91"/>
      <c r="HA525" s="91"/>
      <c r="HB525" s="91"/>
      <c r="HC525" s="91"/>
      <c r="HD525" s="91"/>
      <c r="HE525" s="91"/>
      <c r="HF525" s="91"/>
      <c r="HG525" s="91"/>
      <c r="HH525" s="91"/>
      <c r="HI525" s="91"/>
      <c r="HJ525" s="91"/>
      <c r="HK525" s="91"/>
      <c r="HL525" s="91"/>
      <c r="HM525" s="91"/>
      <c r="HN525" s="91"/>
      <c r="HO525" s="91"/>
      <c r="HP525" s="91"/>
      <c r="HQ525" s="91"/>
      <c r="HR525" s="91"/>
      <c r="HS525" s="91"/>
      <c r="HT525" s="91"/>
      <c r="HU525" s="91"/>
      <c r="HV525" s="91"/>
      <c r="HW525" s="91"/>
      <c r="HX525" s="91"/>
      <c r="HY525" s="91"/>
      <c r="HZ525" s="91"/>
      <c r="IA525" s="91"/>
      <c r="IB525" s="91"/>
      <c r="IC525" s="91"/>
      <c r="ID525" s="91"/>
      <c r="IE525" s="91"/>
    </row>
    <row r="526" spans="2:239" ht="15" x14ac:dyDescent="0.2">
      <c r="B526" s="91"/>
      <c r="C526" s="91"/>
      <c r="D526" s="91"/>
      <c r="E526" s="227"/>
      <c r="F526" s="91"/>
      <c r="G526" s="91"/>
      <c r="H526" s="91"/>
      <c r="I526" s="91"/>
      <c r="J526" s="91"/>
      <c r="K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c r="GU526" s="91"/>
      <c r="GV526" s="91"/>
      <c r="GW526" s="91"/>
      <c r="GX526" s="91"/>
      <c r="GY526" s="91"/>
      <c r="GZ526" s="91"/>
      <c r="HA526" s="91"/>
      <c r="HB526" s="91"/>
      <c r="HC526" s="91"/>
      <c r="HD526" s="91"/>
      <c r="HE526" s="91"/>
      <c r="HF526" s="91"/>
      <c r="HG526" s="91"/>
      <c r="HH526" s="91"/>
      <c r="HI526" s="91"/>
      <c r="HJ526" s="91"/>
      <c r="HK526" s="91"/>
      <c r="HL526" s="91"/>
      <c r="HM526" s="91"/>
      <c r="HN526" s="91"/>
      <c r="HO526" s="91"/>
      <c r="HP526" s="91"/>
      <c r="HQ526" s="91"/>
      <c r="HR526" s="91"/>
      <c r="HS526" s="91"/>
      <c r="HT526" s="91"/>
      <c r="HU526" s="91"/>
      <c r="HV526" s="91"/>
      <c r="HW526" s="91"/>
      <c r="HX526" s="91"/>
      <c r="HY526" s="91"/>
      <c r="HZ526" s="91"/>
      <c r="IA526" s="91"/>
      <c r="IB526" s="91"/>
      <c r="IC526" s="91"/>
      <c r="ID526" s="91"/>
      <c r="IE526" s="91"/>
    </row>
    <row r="527" spans="2:239" ht="15" x14ac:dyDescent="0.2">
      <c r="B527" s="91"/>
      <c r="C527" s="91"/>
      <c r="D527" s="91"/>
      <c r="E527" s="227"/>
      <c r="F527" s="91"/>
      <c r="G527" s="91"/>
      <c r="H527" s="91"/>
      <c r="I527" s="91"/>
      <c r="J527" s="91"/>
      <c r="K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c r="GU527" s="91"/>
      <c r="GV527" s="91"/>
      <c r="GW527" s="91"/>
      <c r="GX527" s="91"/>
      <c r="GY527" s="91"/>
      <c r="GZ527" s="91"/>
      <c r="HA527" s="91"/>
      <c r="HB527" s="91"/>
      <c r="HC527" s="91"/>
      <c r="HD527" s="91"/>
      <c r="HE527" s="91"/>
      <c r="HF527" s="91"/>
      <c r="HG527" s="91"/>
      <c r="HH527" s="91"/>
      <c r="HI527" s="91"/>
      <c r="HJ527" s="91"/>
      <c r="HK527" s="91"/>
      <c r="HL527" s="91"/>
      <c r="HM527" s="91"/>
      <c r="HN527" s="91"/>
      <c r="HO527" s="91"/>
      <c r="HP527" s="91"/>
      <c r="HQ527" s="91"/>
      <c r="HR527" s="91"/>
      <c r="HS527" s="91"/>
      <c r="HT527" s="91"/>
      <c r="HU527" s="91"/>
      <c r="HV527" s="91"/>
      <c r="HW527" s="91"/>
      <c r="HX527" s="91"/>
      <c r="HY527" s="91"/>
      <c r="HZ527" s="91"/>
      <c r="IA527" s="91"/>
      <c r="IB527" s="91"/>
      <c r="IC527" s="91"/>
      <c r="ID527" s="91"/>
      <c r="IE527" s="91"/>
    </row>
    <row r="528" spans="2:239" ht="15" x14ac:dyDescent="0.2">
      <c r="B528" s="91"/>
      <c r="C528" s="91"/>
      <c r="D528" s="91"/>
      <c r="E528" s="227"/>
      <c r="F528" s="91"/>
      <c r="G528" s="91"/>
      <c r="H528" s="91"/>
      <c r="I528" s="91"/>
      <c r="J528" s="91"/>
      <c r="K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c r="HV528" s="91"/>
      <c r="HW528" s="91"/>
      <c r="HX528" s="91"/>
      <c r="HY528" s="91"/>
      <c r="HZ528" s="91"/>
      <c r="IA528" s="91"/>
      <c r="IB528" s="91"/>
      <c r="IC528" s="91"/>
      <c r="ID528" s="91"/>
      <c r="IE528" s="91"/>
    </row>
    <row r="529" spans="2:239" ht="15" x14ac:dyDescent="0.2">
      <c r="B529" s="91"/>
      <c r="C529" s="91"/>
      <c r="D529" s="91"/>
      <c r="E529" s="227"/>
      <c r="F529" s="91"/>
      <c r="G529" s="91"/>
      <c r="H529" s="91"/>
      <c r="I529" s="91"/>
      <c r="J529" s="91"/>
      <c r="K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c r="HV529" s="91"/>
      <c r="HW529" s="91"/>
      <c r="HX529" s="91"/>
      <c r="HY529" s="91"/>
      <c r="HZ529" s="91"/>
      <c r="IA529" s="91"/>
      <c r="IB529" s="91"/>
      <c r="IC529" s="91"/>
      <c r="ID529" s="91"/>
      <c r="IE529" s="91"/>
    </row>
    <row r="530" spans="2:239" ht="15" x14ac:dyDescent="0.2">
      <c r="B530" s="91"/>
      <c r="C530" s="91"/>
      <c r="D530" s="91"/>
      <c r="E530" s="227"/>
      <c r="F530" s="91"/>
      <c r="G530" s="91"/>
      <c r="H530" s="91"/>
      <c r="I530" s="91"/>
      <c r="J530" s="91"/>
      <c r="K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c r="GU530" s="91"/>
      <c r="GV530" s="91"/>
      <c r="GW530" s="91"/>
      <c r="GX530" s="91"/>
      <c r="GY530" s="91"/>
      <c r="GZ530" s="91"/>
      <c r="HA530" s="91"/>
      <c r="HB530" s="91"/>
      <c r="HC530" s="91"/>
      <c r="HD530" s="91"/>
      <c r="HE530" s="91"/>
      <c r="HF530" s="91"/>
      <c r="HG530" s="91"/>
      <c r="HH530" s="91"/>
      <c r="HI530" s="91"/>
      <c r="HJ530" s="91"/>
      <c r="HK530" s="91"/>
      <c r="HL530" s="91"/>
      <c r="HM530" s="91"/>
      <c r="HN530" s="91"/>
      <c r="HO530" s="91"/>
      <c r="HP530" s="91"/>
      <c r="HQ530" s="91"/>
      <c r="HR530" s="91"/>
      <c r="HS530" s="91"/>
      <c r="HT530" s="91"/>
      <c r="HU530" s="91"/>
      <c r="HV530" s="91"/>
      <c r="HW530" s="91"/>
      <c r="HX530" s="91"/>
      <c r="HY530" s="91"/>
      <c r="HZ530" s="91"/>
      <c r="IA530" s="91"/>
      <c r="IB530" s="91"/>
      <c r="IC530" s="91"/>
      <c r="ID530" s="91"/>
      <c r="IE530" s="91"/>
    </row>
    <row r="531" spans="2:239" ht="15" x14ac:dyDescent="0.2">
      <c r="B531" s="91"/>
      <c r="C531" s="91"/>
      <c r="D531" s="91"/>
      <c r="E531" s="227"/>
      <c r="F531" s="91"/>
      <c r="G531" s="91"/>
      <c r="H531" s="91"/>
      <c r="I531" s="91"/>
      <c r="J531" s="91"/>
      <c r="K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c r="GU531" s="91"/>
      <c r="GV531" s="91"/>
      <c r="GW531" s="91"/>
      <c r="GX531" s="91"/>
      <c r="GY531" s="91"/>
      <c r="GZ531" s="91"/>
      <c r="HA531" s="91"/>
      <c r="HB531" s="91"/>
      <c r="HC531" s="91"/>
      <c r="HD531" s="91"/>
      <c r="HE531" s="91"/>
      <c r="HF531" s="91"/>
      <c r="HG531" s="91"/>
      <c r="HH531" s="91"/>
      <c r="HI531" s="91"/>
      <c r="HJ531" s="91"/>
      <c r="HK531" s="91"/>
      <c r="HL531" s="91"/>
      <c r="HM531" s="91"/>
      <c r="HN531" s="91"/>
      <c r="HO531" s="91"/>
      <c r="HP531" s="91"/>
      <c r="HQ531" s="91"/>
      <c r="HR531" s="91"/>
      <c r="HS531" s="91"/>
      <c r="HT531" s="91"/>
      <c r="HU531" s="91"/>
      <c r="HV531" s="91"/>
      <c r="HW531" s="91"/>
      <c r="HX531" s="91"/>
      <c r="HY531" s="91"/>
      <c r="HZ531" s="91"/>
      <c r="IA531" s="91"/>
      <c r="IB531" s="91"/>
      <c r="IC531" s="91"/>
      <c r="ID531" s="91"/>
      <c r="IE531" s="91"/>
    </row>
    <row r="532" spans="2:239" ht="15" x14ac:dyDescent="0.2">
      <c r="B532" s="91"/>
      <c r="C532" s="91"/>
      <c r="D532" s="91"/>
      <c r="E532" s="227"/>
      <c r="F532" s="91"/>
      <c r="G532" s="91"/>
      <c r="H532" s="91"/>
      <c r="I532" s="91"/>
      <c r="J532" s="91"/>
      <c r="K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c r="HV532" s="91"/>
      <c r="HW532" s="91"/>
      <c r="HX532" s="91"/>
      <c r="HY532" s="91"/>
      <c r="HZ532" s="91"/>
      <c r="IA532" s="91"/>
      <c r="IB532" s="91"/>
      <c r="IC532" s="91"/>
      <c r="ID532" s="91"/>
      <c r="IE532" s="91"/>
    </row>
    <row r="533" spans="2:239" ht="15" x14ac:dyDescent="0.2">
      <c r="B533" s="91"/>
      <c r="C533" s="91"/>
      <c r="D533" s="91"/>
      <c r="E533" s="227"/>
      <c r="F533" s="91"/>
      <c r="G533" s="91"/>
      <c r="H533" s="91"/>
      <c r="I533" s="91"/>
      <c r="J533" s="91"/>
      <c r="K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I533" s="91"/>
      <c r="HJ533" s="91"/>
      <c r="HK533" s="91"/>
      <c r="HL533" s="91"/>
      <c r="HM533" s="91"/>
      <c r="HN533" s="91"/>
      <c r="HO533" s="91"/>
      <c r="HP533" s="91"/>
      <c r="HQ533" s="91"/>
      <c r="HR533" s="91"/>
      <c r="HS533" s="91"/>
      <c r="HT533" s="91"/>
      <c r="HU533" s="91"/>
      <c r="HV533" s="91"/>
      <c r="HW533" s="91"/>
      <c r="HX533" s="91"/>
      <c r="HY533" s="91"/>
      <c r="HZ533" s="91"/>
      <c r="IA533" s="91"/>
      <c r="IB533" s="91"/>
      <c r="IC533" s="91"/>
      <c r="ID533" s="91"/>
      <c r="IE533" s="91"/>
    </row>
    <row r="534" spans="2:239" ht="15" x14ac:dyDescent="0.2">
      <c r="B534" s="91"/>
      <c r="C534" s="91"/>
      <c r="D534" s="91"/>
      <c r="E534" s="227"/>
      <c r="F534" s="91"/>
      <c r="G534" s="91"/>
      <c r="H534" s="91"/>
      <c r="I534" s="91"/>
      <c r="J534" s="91"/>
      <c r="K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c r="GU534" s="91"/>
      <c r="GV534" s="91"/>
      <c r="GW534" s="91"/>
      <c r="GX534" s="91"/>
      <c r="GY534" s="91"/>
      <c r="GZ534" s="91"/>
      <c r="HA534" s="91"/>
      <c r="HB534" s="91"/>
      <c r="HC534" s="91"/>
      <c r="HD534" s="91"/>
      <c r="HE534" s="91"/>
      <c r="HF534" s="91"/>
      <c r="HG534" s="91"/>
      <c r="HH534" s="91"/>
      <c r="HI534" s="91"/>
      <c r="HJ534" s="91"/>
      <c r="HK534" s="91"/>
      <c r="HL534" s="91"/>
      <c r="HM534" s="91"/>
      <c r="HN534" s="91"/>
      <c r="HO534" s="91"/>
      <c r="HP534" s="91"/>
      <c r="HQ534" s="91"/>
      <c r="HR534" s="91"/>
      <c r="HS534" s="91"/>
      <c r="HT534" s="91"/>
      <c r="HU534" s="91"/>
      <c r="HV534" s="91"/>
      <c r="HW534" s="91"/>
      <c r="HX534" s="91"/>
      <c r="HY534" s="91"/>
      <c r="HZ534" s="91"/>
      <c r="IA534" s="91"/>
      <c r="IB534" s="91"/>
      <c r="IC534" s="91"/>
      <c r="ID534" s="91"/>
      <c r="IE534" s="91"/>
    </row>
    <row r="535" spans="2:239" ht="15" x14ac:dyDescent="0.2">
      <c r="B535" s="91"/>
      <c r="C535" s="91"/>
      <c r="D535" s="91"/>
      <c r="E535" s="227"/>
      <c r="F535" s="91"/>
      <c r="G535" s="91"/>
      <c r="H535" s="91"/>
      <c r="I535" s="91"/>
      <c r="J535" s="91"/>
      <c r="K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c r="HV535" s="91"/>
      <c r="HW535" s="91"/>
      <c r="HX535" s="91"/>
      <c r="HY535" s="91"/>
      <c r="HZ535" s="91"/>
      <c r="IA535" s="91"/>
      <c r="IB535" s="91"/>
      <c r="IC535" s="91"/>
      <c r="ID535" s="91"/>
      <c r="IE535" s="91"/>
    </row>
    <row r="536" spans="2:239" ht="15" x14ac:dyDescent="0.2">
      <c r="B536" s="91"/>
      <c r="C536" s="91"/>
      <c r="D536" s="91"/>
      <c r="E536" s="227"/>
      <c r="F536" s="91"/>
      <c r="G536" s="91"/>
      <c r="H536" s="91"/>
      <c r="I536" s="91"/>
      <c r="J536" s="91"/>
      <c r="K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c r="HV536" s="91"/>
      <c r="HW536" s="91"/>
      <c r="HX536" s="91"/>
      <c r="HY536" s="91"/>
      <c r="HZ536" s="91"/>
      <c r="IA536" s="91"/>
      <c r="IB536" s="91"/>
      <c r="IC536" s="91"/>
      <c r="ID536" s="91"/>
      <c r="IE536" s="91"/>
    </row>
    <row r="537" spans="2:239" ht="15" x14ac:dyDescent="0.2">
      <c r="B537" s="91"/>
      <c r="C537" s="91"/>
      <c r="D537" s="91"/>
      <c r="E537" s="227"/>
      <c r="F537" s="91"/>
      <c r="G537" s="91"/>
      <c r="H537" s="91"/>
      <c r="I537" s="91"/>
      <c r="J537" s="91"/>
      <c r="K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c r="GU537" s="91"/>
      <c r="GV537" s="91"/>
      <c r="GW537" s="91"/>
      <c r="GX537" s="91"/>
      <c r="GY537" s="91"/>
      <c r="GZ537" s="91"/>
      <c r="HA537" s="91"/>
      <c r="HB537" s="91"/>
      <c r="HC537" s="91"/>
      <c r="HD537" s="91"/>
      <c r="HE537" s="91"/>
      <c r="HF537" s="91"/>
      <c r="HG537" s="91"/>
      <c r="HH537" s="91"/>
      <c r="HI537" s="91"/>
      <c r="HJ537" s="91"/>
      <c r="HK537" s="91"/>
      <c r="HL537" s="91"/>
      <c r="HM537" s="91"/>
      <c r="HN537" s="91"/>
      <c r="HO537" s="91"/>
      <c r="HP537" s="91"/>
      <c r="HQ537" s="91"/>
      <c r="HR537" s="91"/>
      <c r="HS537" s="91"/>
      <c r="HT537" s="91"/>
      <c r="HU537" s="91"/>
      <c r="HV537" s="91"/>
      <c r="HW537" s="91"/>
      <c r="HX537" s="91"/>
      <c r="HY537" s="91"/>
      <c r="HZ537" s="91"/>
      <c r="IA537" s="91"/>
      <c r="IB537" s="91"/>
      <c r="IC537" s="91"/>
      <c r="ID537" s="91"/>
      <c r="IE537" s="91"/>
    </row>
    <row r="538" spans="2:239" ht="15" x14ac:dyDescent="0.2">
      <c r="B538" s="91"/>
      <c r="C538" s="91"/>
      <c r="D538" s="91"/>
      <c r="E538" s="227"/>
      <c r="F538" s="91"/>
      <c r="G538" s="91"/>
      <c r="H538" s="91"/>
      <c r="I538" s="91"/>
      <c r="J538" s="91"/>
      <c r="K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c r="HV538" s="91"/>
      <c r="HW538" s="91"/>
      <c r="HX538" s="91"/>
      <c r="HY538" s="91"/>
      <c r="HZ538" s="91"/>
      <c r="IA538" s="91"/>
      <c r="IB538" s="91"/>
      <c r="IC538" s="91"/>
      <c r="ID538" s="91"/>
      <c r="IE538" s="91"/>
    </row>
    <row r="539" spans="2:239" ht="15" x14ac:dyDescent="0.2">
      <c r="B539" s="91"/>
      <c r="C539" s="91"/>
      <c r="D539" s="91"/>
      <c r="E539" s="227"/>
      <c r="F539" s="91"/>
      <c r="G539" s="91"/>
      <c r="H539" s="91"/>
      <c r="I539" s="91"/>
      <c r="J539" s="91"/>
      <c r="K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c r="HV539" s="91"/>
      <c r="HW539" s="91"/>
      <c r="HX539" s="91"/>
      <c r="HY539" s="91"/>
      <c r="HZ539" s="91"/>
      <c r="IA539" s="91"/>
      <c r="IB539" s="91"/>
      <c r="IC539" s="91"/>
      <c r="ID539" s="91"/>
      <c r="IE539" s="91"/>
    </row>
    <row r="540" spans="2:239" ht="15" x14ac:dyDescent="0.2">
      <c r="B540" s="91"/>
      <c r="C540" s="91"/>
      <c r="D540" s="91"/>
      <c r="E540" s="227"/>
      <c r="F540" s="91"/>
      <c r="G540" s="91"/>
      <c r="H540" s="91"/>
      <c r="I540" s="91"/>
      <c r="J540" s="91"/>
      <c r="K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row>
    <row r="541" spans="2:239" ht="15" x14ac:dyDescent="0.2">
      <c r="B541" s="91"/>
      <c r="C541" s="91"/>
      <c r="D541" s="91"/>
      <c r="E541" s="227"/>
      <c r="F541" s="91"/>
      <c r="G541" s="91"/>
      <c r="H541" s="91"/>
      <c r="I541" s="91"/>
      <c r="J541" s="91"/>
      <c r="K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c r="GU541" s="91"/>
      <c r="GV541" s="91"/>
      <c r="GW541" s="91"/>
      <c r="GX541" s="91"/>
      <c r="GY541" s="91"/>
      <c r="GZ541" s="91"/>
      <c r="HA541" s="91"/>
      <c r="HB541" s="91"/>
      <c r="HC541" s="91"/>
      <c r="HD541" s="91"/>
      <c r="HE541" s="91"/>
      <c r="HF541" s="91"/>
      <c r="HG541" s="91"/>
      <c r="HH541" s="91"/>
      <c r="HI541" s="91"/>
      <c r="HJ541" s="91"/>
      <c r="HK541" s="91"/>
      <c r="HL541" s="91"/>
      <c r="HM541" s="91"/>
      <c r="HN541" s="91"/>
      <c r="HO541" s="91"/>
      <c r="HP541" s="91"/>
      <c r="HQ541" s="91"/>
      <c r="HR541" s="91"/>
      <c r="HS541" s="91"/>
      <c r="HT541" s="91"/>
      <c r="HU541" s="91"/>
      <c r="HV541" s="91"/>
      <c r="HW541" s="91"/>
      <c r="HX541" s="91"/>
      <c r="HY541" s="91"/>
      <c r="HZ541" s="91"/>
      <c r="IA541" s="91"/>
      <c r="IB541" s="91"/>
      <c r="IC541" s="91"/>
      <c r="ID541" s="91"/>
      <c r="IE541" s="91"/>
    </row>
    <row r="542" spans="2:239" ht="15" x14ac:dyDescent="0.2">
      <c r="B542" s="91"/>
      <c r="C542" s="91"/>
      <c r="D542" s="91"/>
      <c r="E542" s="227"/>
      <c r="F542" s="91"/>
      <c r="G542" s="91"/>
      <c r="H542" s="91"/>
      <c r="I542" s="91"/>
      <c r="J542" s="91"/>
      <c r="K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c r="HV542" s="91"/>
      <c r="HW542" s="91"/>
      <c r="HX542" s="91"/>
      <c r="HY542" s="91"/>
      <c r="HZ542" s="91"/>
      <c r="IA542" s="91"/>
      <c r="IB542" s="91"/>
      <c r="IC542" s="91"/>
      <c r="ID542" s="91"/>
      <c r="IE542" s="91"/>
    </row>
    <row r="543" spans="2:239" ht="15" x14ac:dyDescent="0.2">
      <c r="B543" s="91"/>
      <c r="C543" s="91"/>
      <c r="D543" s="91"/>
      <c r="E543" s="227"/>
      <c r="F543" s="91"/>
      <c r="G543" s="91"/>
      <c r="H543" s="91"/>
      <c r="I543" s="91"/>
      <c r="J543" s="91"/>
      <c r="K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c r="GU543" s="91"/>
      <c r="GV543" s="91"/>
      <c r="GW543" s="91"/>
      <c r="GX543" s="91"/>
      <c r="GY543" s="91"/>
      <c r="GZ543" s="91"/>
      <c r="HA543" s="91"/>
      <c r="HB543" s="91"/>
      <c r="HC543" s="91"/>
      <c r="HD543" s="91"/>
      <c r="HE543" s="91"/>
      <c r="HF543" s="91"/>
      <c r="HG543" s="91"/>
      <c r="HH543" s="91"/>
      <c r="HI543" s="91"/>
      <c r="HJ543" s="91"/>
      <c r="HK543" s="91"/>
      <c r="HL543" s="91"/>
      <c r="HM543" s="91"/>
      <c r="HN543" s="91"/>
      <c r="HO543" s="91"/>
      <c r="HP543" s="91"/>
      <c r="HQ543" s="91"/>
      <c r="HR543" s="91"/>
      <c r="HS543" s="91"/>
      <c r="HT543" s="91"/>
      <c r="HU543" s="91"/>
      <c r="HV543" s="91"/>
      <c r="HW543" s="91"/>
      <c r="HX543" s="91"/>
      <c r="HY543" s="91"/>
      <c r="HZ543" s="91"/>
      <c r="IA543" s="91"/>
      <c r="IB543" s="91"/>
      <c r="IC543" s="91"/>
      <c r="ID543" s="91"/>
      <c r="IE543" s="91"/>
    </row>
    <row r="544" spans="2:239" ht="15" x14ac:dyDescent="0.2">
      <c r="B544" s="91"/>
      <c r="C544" s="91"/>
      <c r="D544" s="91"/>
      <c r="E544" s="227"/>
      <c r="F544" s="91"/>
      <c r="G544" s="91"/>
      <c r="H544" s="91"/>
      <c r="I544" s="91"/>
      <c r="J544" s="91"/>
      <c r="K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c r="GU544" s="91"/>
      <c r="GV544" s="91"/>
      <c r="GW544" s="91"/>
      <c r="GX544" s="91"/>
      <c r="GY544" s="91"/>
      <c r="GZ544" s="91"/>
      <c r="HA544" s="91"/>
      <c r="HB544" s="91"/>
      <c r="HC544" s="91"/>
      <c r="HD544" s="91"/>
      <c r="HE544" s="91"/>
      <c r="HF544" s="91"/>
      <c r="HG544" s="91"/>
      <c r="HH544" s="91"/>
      <c r="HI544" s="91"/>
      <c r="HJ544" s="91"/>
      <c r="HK544" s="91"/>
      <c r="HL544" s="91"/>
      <c r="HM544" s="91"/>
      <c r="HN544" s="91"/>
      <c r="HO544" s="91"/>
      <c r="HP544" s="91"/>
      <c r="HQ544" s="91"/>
      <c r="HR544" s="91"/>
      <c r="HS544" s="91"/>
      <c r="HT544" s="91"/>
      <c r="HU544" s="91"/>
      <c r="HV544" s="91"/>
      <c r="HW544" s="91"/>
      <c r="HX544" s="91"/>
      <c r="HY544" s="91"/>
      <c r="HZ544" s="91"/>
      <c r="IA544" s="91"/>
      <c r="IB544" s="91"/>
      <c r="IC544" s="91"/>
      <c r="ID544" s="91"/>
      <c r="IE544" s="91"/>
    </row>
    <row r="545" spans="2:239" ht="15" x14ac:dyDescent="0.2">
      <c r="B545" s="91"/>
      <c r="C545" s="91"/>
      <c r="D545" s="91"/>
      <c r="E545" s="227"/>
      <c r="F545" s="91"/>
      <c r="G545" s="91"/>
      <c r="H545" s="91"/>
      <c r="I545" s="91"/>
      <c r="J545" s="91"/>
      <c r="K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c r="HV545" s="91"/>
      <c r="HW545" s="91"/>
      <c r="HX545" s="91"/>
      <c r="HY545" s="91"/>
      <c r="HZ545" s="91"/>
      <c r="IA545" s="91"/>
      <c r="IB545" s="91"/>
      <c r="IC545" s="91"/>
      <c r="ID545" s="91"/>
      <c r="IE545" s="91"/>
    </row>
    <row r="546" spans="2:239" ht="15" x14ac:dyDescent="0.2">
      <c r="B546" s="91"/>
      <c r="C546" s="91"/>
      <c r="D546" s="91"/>
      <c r="E546" s="227"/>
      <c r="F546" s="91"/>
      <c r="G546" s="91"/>
      <c r="H546" s="91"/>
      <c r="I546" s="91"/>
      <c r="J546" s="91"/>
      <c r="K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c r="GU546" s="91"/>
      <c r="GV546" s="91"/>
      <c r="GW546" s="91"/>
      <c r="GX546" s="91"/>
      <c r="GY546" s="91"/>
      <c r="GZ546" s="91"/>
      <c r="HA546" s="91"/>
      <c r="HB546" s="91"/>
      <c r="HC546" s="91"/>
      <c r="HD546" s="91"/>
      <c r="HE546" s="91"/>
      <c r="HF546" s="91"/>
      <c r="HG546" s="91"/>
      <c r="HH546" s="91"/>
      <c r="HI546" s="91"/>
      <c r="HJ546" s="91"/>
      <c r="HK546" s="91"/>
      <c r="HL546" s="91"/>
      <c r="HM546" s="91"/>
      <c r="HN546" s="91"/>
      <c r="HO546" s="91"/>
      <c r="HP546" s="91"/>
      <c r="HQ546" s="91"/>
      <c r="HR546" s="91"/>
      <c r="HS546" s="91"/>
      <c r="HT546" s="91"/>
      <c r="HU546" s="91"/>
      <c r="HV546" s="91"/>
      <c r="HW546" s="91"/>
      <c r="HX546" s="91"/>
      <c r="HY546" s="91"/>
      <c r="HZ546" s="91"/>
      <c r="IA546" s="91"/>
      <c r="IB546" s="91"/>
      <c r="IC546" s="91"/>
      <c r="ID546" s="91"/>
      <c r="IE546" s="91"/>
    </row>
    <row r="547" spans="2:239" ht="15" x14ac:dyDescent="0.2">
      <c r="B547" s="91"/>
      <c r="C547" s="91"/>
      <c r="D547" s="91"/>
      <c r="E547" s="227"/>
      <c r="F547" s="91"/>
      <c r="G547" s="91"/>
      <c r="H547" s="91"/>
      <c r="I547" s="91"/>
      <c r="J547" s="91"/>
      <c r="K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c r="HV547" s="91"/>
      <c r="HW547" s="91"/>
      <c r="HX547" s="91"/>
      <c r="HY547" s="91"/>
      <c r="HZ547" s="91"/>
      <c r="IA547" s="91"/>
      <c r="IB547" s="91"/>
      <c r="IC547" s="91"/>
      <c r="ID547" s="91"/>
      <c r="IE547" s="91"/>
    </row>
    <row r="548" spans="2:239" ht="15" x14ac:dyDescent="0.2">
      <c r="B548" s="91"/>
      <c r="C548" s="91"/>
      <c r="D548" s="91"/>
      <c r="E548" s="227"/>
      <c r="F548" s="91"/>
      <c r="G548" s="91"/>
      <c r="H548" s="91"/>
      <c r="I548" s="91"/>
      <c r="J548" s="91"/>
      <c r="K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row>
    <row r="549" spans="2:239" ht="15" x14ac:dyDescent="0.2">
      <c r="B549" s="91"/>
      <c r="C549" s="91"/>
      <c r="D549" s="91"/>
      <c r="E549" s="227"/>
      <c r="F549" s="91"/>
      <c r="G549" s="91"/>
      <c r="H549" s="91"/>
      <c r="I549" s="91"/>
      <c r="J549" s="91"/>
      <c r="K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c r="GU549" s="91"/>
      <c r="GV549" s="91"/>
      <c r="GW549" s="91"/>
      <c r="GX549" s="91"/>
      <c r="GY549" s="91"/>
      <c r="GZ549" s="91"/>
      <c r="HA549" s="91"/>
      <c r="HB549" s="91"/>
      <c r="HC549" s="91"/>
      <c r="HD549" s="91"/>
      <c r="HE549" s="91"/>
      <c r="HF549" s="91"/>
      <c r="HG549" s="91"/>
      <c r="HH549" s="91"/>
      <c r="HI549" s="91"/>
      <c r="HJ549" s="91"/>
      <c r="HK549" s="91"/>
      <c r="HL549" s="91"/>
      <c r="HM549" s="91"/>
      <c r="HN549" s="91"/>
      <c r="HO549" s="91"/>
      <c r="HP549" s="91"/>
      <c r="HQ549" s="91"/>
      <c r="HR549" s="91"/>
      <c r="HS549" s="91"/>
      <c r="HT549" s="91"/>
      <c r="HU549" s="91"/>
      <c r="HV549" s="91"/>
      <c r="HW549" s="91"/>
      <c r="HX549" s="91"/>
      <c r="HY549" s="91"/>
      <c r="HZ549" s="91"/>
      <c r="IA549" s="91"/>
      <c r="IB549" s="91"/>
      <c r="IC549" s="91"/>
      <c r="ID549" s="91"/>
      <c r="IE549" s="91"/>
    </row>
    <row r="550" spans="2:239" ht="15" x14ac:dyDescent="0.2">
      <c r="B550" s="91"/>
      <c r="C550" s="91"/>
      <c r="D550" s="91"/>
      <c r="E550" s="227"/>
      <c r="F550" s="91"/>
      <c r="G550" s="91"/>
      <c r="H550" s="91"/>
      <c r="I550" s="91"/>
      <c r="J550" s="91"/>
      <c r="K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c r="GU550" s="91"/>
      <c r="GV550" s="91"/>
      <c r="GW550" s="91"/>
      <c r="GX550" s="91"/>
      <c r="GY550" s="91"/>
      <c r="GZ550" s="91"/>
      <c r="HA550" s="91"/>
      <c r="HB550" s="91"/>
      <c r="HC550" s="91"/>
      <c r="HD550" s="91"/>
      <c r="HE550" s="91"/>
      <c r="HF550" s="91"/>
      <c r="HG550" s="91"/>
      <c r="HH550" s="91"/>
      <c r="HI550" s="91"/>
      <c r="HJ550" s="91"/>
      <c r="HK550" s="91"/>
      <c r="HL550" s="91"/>
      <c r="HM550" s="91"/>
      <c r="HN550" s="91"/>
      <c r="HO550" s="91"/>
      <c r="HP550" s="91"/>
      <c r="HQ550" s="91"/>
      <c r="HR550" s="91"/>
      <c r="HS550" s="91"/>
      <c r="HT550" s="91"/>
      <c r="HU550" s="91"/>
      <c r="HV550" s="91"/>
      <c r="HW550" s="91"/>
      <c r="HX550" s="91"/>
      <c r="HY550" s="91"/>
      <c r="HZ550" s="91"/>
      <c r="IA550" s="91"/>
      <c r="IB550" s="91"/>
      <c r="IC550" s="91"/>
      <c r="ID550" s="91"/>
      <c r="IE550" s="91"/>
    </row>
    <row r="551" spans="2:239" ht="15" x14ac:dyDescent="0.2">
      <c r="B551" s="91"/>
      <c r="C551" s="91"/>
      <c r="D551" s="91"/>
      <c r="E551" s="227"/>
      <c r="F551" s="91"/>
      <c r="G551" s="91"/>
      <c r="H551" s="91"/>
      <c r="I551" s="91"/>
      <c r="J551" s="91"/>
      <c r="K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c r="GU551" s="91"/>
      <c r="GV551" s="91"/>
      <c r="GW551" s="91"/>
      <c r="GX551" s="91"/>
      <c r="GY551" s="91"/>
      <c r="GZ551" s="91"/>
      <c r="HA551" s="91"/>
      <c r="HB551" s="91"/>
      <c r="HC551" s="91"/>
      <c r="HD551" s="91"/>
      <c r="HE551" s="91"/>
      <c r="HF551" s="91"/>
      <c r="HG551" s="91"/>
      <c r="HH551" s="91"/>
      <c r="HI551" s="91"/>
      <c r="HJ551" s="91"/>
      <c r="HK551" s="91"/>
      <c r="HL551" s="91"/>
      <c r="HM551" s="91"/>
      <c r="HN551" s="91"/>
      <c r="HO551" s="91"/>
      <c r="HP551" s="91"/>
      <c r="HQ551" s="91"/>
      <c r="HR551" s="91"/>
      <c r="HS551" s="91"/>
      <c r="HT551" s="91"/>
      <c r="HU551" s="91"/>
      <c r="HV551" s="91"/>
      <c r="HW551" s="91"/>
      <c r="HX551" s="91"/>
      <c r="HY551" s="91"/>
      <c r="HZ551" s="91"/>
      <c r="IA551" s="91"/>
      <c r="IB551" s="91"/>
      <c r="IC551" s="91"/>
      <c r="ID551" s="91"/>
      <c r="IE551" s="91"/>
    </row>
    <row r="552" spans="2:239" ht="15" x14ac:dyDescent="0.2">
      <c r="B552" s="91"/>
      <c r="C552" s="91"/>
      <c r="D552" s="91"/>
      <c r="E552" s="227"/>
      <c r="F552" s="91"/>
      <c r="G552" s="91"/>
      <c r="H552" s="91"/>
      <c r="I552" s="91"/>
      <c r="J552" s="91"/>
      <c r="K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c r="GU552" s="91"/>
      <c r="GV552" s="91"/>
      <c r="GW552" s="91"/>
      <c r="GX552" s="91"/>
      <c r="GY552" s="91"/>
      <c r="GZ552" s="91"/>
      <c r="HA552" s="91"/>
      <c r="HB552" s="91"/>
      <c r="HC552" s="91"/>
      <c r="HD552" s="91"/>
      <c r="HE552" s="91"/>
      <c r="HF552" s="91"/>
      <c r="HG552" s="91"/>
      <c r="HH552" s="91"/>
      <c r="HI552" s="91"/>
      <c r="HJ552" s="91"/>
      <c r="HK552" s="91"/>
      <c r="HL552" s="91"/>
      <c r="HM552" s="91"/>
      <c r="HN552" s="91"/>
      <c r="HO552" s="91"/>
      <c r="HP552" s="91"/>
      <c r="HQ552" s="91"/>
      <c r="HR552" s="91"/>
      <c r="HS552" s="91"/>
      <c r="HT552" s="91"/>
      <c r="HU552" s="91"/>
      <c r="HV552" s="91"/>
      <c r="HW552" s="91"/>
      <c r="HX552" s="91"/>
      <c r="HY552" s="91"/>
      <c r="HZ552" s="91"/>
      <c r="IA552" s="91"/>
      <c r="IB552" s="91"/>
      <c r="IC552" s="91"/>
      <c r="ID552" s="91"/>
      <c r="IE552" s="91"/>
    </row>
    <row r="553" spans="2:239" ht="15" x14ac:dyDescent="0.2">
      <c r="B553" s="91"/>
      <c r="C553" s="91"/>
      <c r="D553" s="91"/>
      <c r="E553" s="227"/>
      <c r="F553" s="91"/>
      <c r="G553" s="91"/>
      <c r="H553" s="91"/>
      <c r="I553" s="91"/>
      <c r="J553" s="91"/>
      <c r="K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c r="HV553" s="91"/>
      <c r="HW553" s="91"/>
      <c r="HX553" s="91"/>
      <c r="HY553" s="91"/>
      <c r="HZ553" s="91"/>
      <c r="IA553" s="91"/>
      <c r="IB553" s="91"/>
      <c r="IC553" s="91"/>
      <c r="ID553" s="91"/>
      <c r="IE553" s="91"/>
    </row>
    <row r="554" spans="2:239" ht="15" x14ac:dyDescent="0.2">
      <c r="B554" s="91"/>
      <c r="C554" s="91"/>
      <c r="D554" s="91"/>
      <c r="E554" s="227"/>
      <c r="F554" s="91"/>
      <c r="G554" s="91"/>
      <c r="H554" s="91"/>
      <c r="I554" s="91"/>
      <c r="J554" s="91"/>
      <c r="K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c r="GU554" s="91"/>
      <c r="GV554" s="91"/>
      <c r="GW554" s="91"/>
      <c r="GX554" s="91"/>
      <c r="GY554" s="91"/>
      <c r="GZ554" s="91"/>
      <c r="HA554" s="91"/>
      <c r="HB554" s="91"/>
      <c r="HC554" s="91"/>
      <c r="HD554" s="91"/>
      <c r="HE554" s="91"/>
      <c r="HF554" s="91"/>
      <c r="HG554" s="91"/>
      <c r="HH554" s="91"/>
      <c r="HI554" s="91"/>
      <c r="HJ554" s="91"/>
      <c r="HK554" s="91"/>
      <c r="HL554" s="91"/>
      <c r="HM554" s="91"/>
      <c r="HN554" s="91"/>
      <c r="HO554" s="91"/>
      <c r="HP554" s="91"/>
      <c r="HQ554" s="91"/>
      <c r="HR554" s="91"/>
      <c r="HS554" s="91"/>
      <c r="HT554" s="91"/>
      <c r="HU554" s="91"/>
      <c r="HV554" s="91"/>
      <c r="HW554" s="91"/>
      <c r="HX554" s="91"/>
      <c r="HY554" s="91"/>
      <c r="HZ554" s="91"/>
      <c r="IA554" s="91"/>
      <c r="IB554" s="91"/>
      <c r="IC554" s="91"/>
      <c r="ID554" s="91"/>
      <c r="IE554" s="91"/>
    </row>
    <row r="555" spans="2:239" ht="15" x14ac:dyDescent="0.2">
      <c r="B555" s="91"/>
      <c r="C555" s="91"/>
      <c r="D555" s="91"/>
      <c r="E555" s="227"/>
      <c r="F555" s="91"/>
      <c r="G555" s="91"/>
      <c r="H555" s="91"/>
      <c r="I555" s="91"/>
      <c r="J555" s="91"/>
      <c r="K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c r="HV555" s="91"/>
      <c r="HW555" s="91"/>
      <c r="HX555" s="91"/>
      <c r="HY555" s="91"/>
      <c r="HZ555" s="91"/>
      <c r="IA555" s="91"/>
      <c r="IB555" s="91"/>
      <c r="IC555" s="91"/>
      <c r="ID555" s="91"/>
      <c r="IE555" s="91"/>
    </row>
    <row r="556" spans="2:239" ht="15" x14ac:dyDescent="0.2">
      <c r="B556" s="91"/>
      <c r="C556" s="91"/>
      <c r="D556" s="91"/>
      <c r="E556" s="227"/>
      <c r="F556" s="91"/>
      <c r="G556" s="91"/>
      <c r="H556" s="91"/>
      <c r="I556" s="91"/>
      <c r="J556" s="91"/>
      <c r="K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c r="HV556" s="91"/>
      <c r="HW556" s="91"/>
      <c r="HX556" s="91"/>
      <c r="HY556" s="91"/>
      <c r="HZ556" s="91"/>
      <c r="IA556" s="91"/>
      <c r="IB556" s="91"/>
      <c r="IC556" s="91"/>
      <c r="ID556" s="91"/>
      <c r="IE556" s="91"/>
    </row>
    <row r="557" spans="2:239" ht="15" x14ac:dyDescent="0.2">
      <c r="B557" s="91"/>
      <c r="C557" s="91"/>
      <c r="D557" s="91"/>
      <c r="E557" s="227"/>
      <c r="F557" s="91"/>
      <c r="G557" s="91"/>
      <c r="H557" s="91"/>
      <c r="I557" s="91"/>
      <c r="J557" s="91"/>
      <c r="K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I557" s="91"/>
      <c r="HJ557" s="91"/>
      <c r="HK557" s="91"/>
      <c r="HL557" s="91"/>
      <c r="HM557" s="91"/>
      <c r="HN557" s="91"/>
      <c r="HO557" s="91"/>
      <c r="HP557" s="91"/>
      <c r="HQ557" s="91"/>
      <c r="HR557" s="91"/>
      <c r="HS557" s="91"/>
      <c r="HT557" s="91"/>
      <c r="HU557" s="91"/>
      <c r="HV557" s="91"/>
      <c r="HW557" s="91"/>
      <c r="HX557" s="91"/>
      <c r="HY557" s="91"/>
      <c r="HZ557" s="91"/>
      <c r="IA557" s="91"/>
      <c r="IB557" s="91"/>
      <c r="IC557" s="91"/>
      <c r="ID557" s="91"/>
      <c r="IE557" s="91"/>
    </row>
    <row r="558" spans="2:239" ht="15" x14ac:dyDescent="0.2">
      <c r="B558" s="91"/>
      <c r="C558" s="91"/>
      <c r="D558" s="91"/>
      <c r="E558" s="227"/>
      <c r="F558" s="91"/>
      <c r="G558" s="91"/>
      <c r="H558" s="91"/>
      <c r="I558" s="91"/>
      <c r="J558" s="91"/>
      <c r="K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c r="HV558" s="91"/>
      <c r="HW558" s="91"/>
      <c r="HX558" s="91"/>
      <c r="HY558" s="91"/>
      <c r="HZ558" s="91"/>
      <c r="IA558" s="91"/>
      <c r="IB558" s="91"/>
      <c r="IC558" s="91"/>
      <c r="ID558" s="91"/>
      <c r="IE558" s="91"/>
    </row>
    <row r="559" spans="2:239" ht="15" x14ac:dyDescent="0.2">
      <c r="B559" s="91"/>
      <c r="C559" s="91"/>
      <c r="D559" s="91"/>
      <c r="E559" s="227"/>
      <c r="F559" s="91"/>
      <c r="G559" s="91"/>
      <c r="H559" s="91"/>
      <c r="I559" s="91"/>
      <c r="J559" s="91"/>
      <c r="K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c r="HV559" s="91"/>
      <c r="HW559" s="91"/>
      <c r="HX559" s="91"/>
      <c r="HY559" s="91"/>
      <c r="HZ559" s="91"/>
      <c r="IA559" s="91"/>
      <c r="IB559" s="91"/>
      <c r="IC559" s="91"/>
      <c r="ID559" s="91"/>
      <c r="IE559" s="91"/>
    </row>
    <row r="560" spans="2:239" ht="15" x14ac:dyDescent="0.2">
      <c r="B560" s="91"/>
      <c r="C560" s="91"/>
      <c r="D560" s="91"/>
      <c r="E560" s="227"/>
      <c r="F560" s="91"/>
      <c r="G560" s="91"/>
      <c r="H560" s="91"/>
      <c r="I560" s="91"/>
      <c r="J560" s="91"/>
      <c r="K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c r="GU560" s="91"/>
      <c r="GV560" s="91"/>
      <c r="GW560" s="91"/>
      <c r="GX560" s="91"/>
      <c r="GY560" s="91"/>
      <c r="GZ560" s="91"/>
      <c r="HA560" s="91"/>
      <c r="HB560" s="91"/>
      <c r="HC560" s="91"/>
      <c r="HD560" s="91"/>
      <c r="HE560" s="91"/>
      <c r="HF560" s="91"/>
      <c r="HG560" s="91"/>
      <c r="HH560" s="91"/>
      <c r="HI560" s="91"/>
      <c r="HJ560" s="91"/>
      <c r="HK560" s="91"/>
      <c r="HL560" s="91"/>
      <c r="HM560" s="91"/>
      <c r="HN560" s="91"/>
      <c r="HO560" s="91"/>
      <c r="HP560" s="91"/>
      <c r="HQ560" s="91"/>
      <c r="HR560" s="91"/>
      <c r="HS560" s="91"/>
      <c r="HT560" s="91"/>
      <c r="HU560" s="91"/>
      <c r="HV560" s="91"/>
      <c r="HW560" s="91"/>
      <c r="HX560" s="91"/>
      <c r="HY560" s="91"/>
      <c r="HZ560" s="91"/>
      <c r="IA560" s="91"/>
      <c r="IB560" s="91"/>
      <c r="IC560" s="91"/>
      <c r="ID560" s="91"/>
      <c r="IE560" s="91"/>
    </row>
    <row r="561" spans="2:239" ht="15" x14ac:dyDescent="0.2">
      <c r="B561" s="91"/>
      <c r="C561" s="91"/>
      <c r="D561" s="91"/>
      <c r="E561" s="227"/>
      <c r="F561" s="91"/>
      <c r="G561" s="91"/>
      <c r="H561" s="91"/>
      <c r="I561" s="91"/>
      <c r="J561" s="91"/>
      <c r="K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c r="GU561" s="91"/>
      <c r="GV561" s="91"/>
      <c r="GW561" s="91"/>
      <c r="GX561" s="91"/>
      <c r="GY561" s="91"/>
      <c r="GZ561" s="91"/>
      <c r="HA561" s="91"/>
      <c r="HB561" s="91"/>
      <c r="HC561" s="91"/>
      <c r="HD561" s="91"/>
      <c r="HE561" s="91"/>
      <c r="HF561" s="91"/>
      <c r="HG561" s="91"/>
      <c r="HH561" s="91"/>
      <c r="HI561" s="91"/>
      <c r="HJ561" s="91"/>
      <c r="HK561" s="91"/>
      <c r="HL561" s="91"/>
      <c r="HM561" s="91"/>
      <c r="HN561" s="91"/>
      <c r="HO561" s="91"/>
      <c r="HP561" s="91"/>
      <c r="HQ561" s="91"/>
      <c r="HR561" s="91"/>
      <c r="HS561" s="91"/>
      <c r="HT561" s="91"/>
      <c r="HU561" s="91"/>
      <c r="HV561" s="91"/>
      <c r="HW561" s="91"/>
      <c r="HX561" s="91"/>
      <c r="HY561" s="91"/>
      <c r="HZ561" s="91"/>
      <c r="IA561" s="91"/>
      <c r="IB561" s="91"/>
      <c r="IC561" s="91"/>
      <c r="ID561" s="91"/>
      <c r="IE561" s="91"/>
    </row>
    <row r="562" spans="2:239" ht="15" x14ac:dyDescent="0.2">
      <c r="B562" s="91"/>
      <c r="C562" s="91"/>
      <c r="D562" s="91"/>
      <c r="E562" s="227"/>
      <c r="F562" s="91"/>
      <c r="G562" s="91"/>
      <c r="H562" s="91"/>
      <c r="I562" s="91"/>
      <c r="J562" s="91"/>
      <c r="K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c r="GU562" s="91"/>
      <c r="GV562" s="91"/>
      <c r="GW562" s="91"/>
      <c r="GX562" s="91"/>
      <c r="GY562" s="91"/>
      <c r="GZ562" s="91"/>
      <c r="HA562" s="91"/>
      <c r="HB562" s="91"/>
      <c r="HC562" s="91"/>
      <c r="HD562" s="91"/>
      <c r="HE562" s="91"/>
      <c r="HF562" s="91"/>
      <c r="HG562" s="91"/>
      <c r="HH562" s="91"/>
      <c r="HI562" s="91"/>
      <c r="HJ562" s="91"/>
      <c r="HK562" s="91"/>
      <c r="HL562" s="91"/>
      <c r="HM562" s="91"/>
      <c r="HN562" s="91"/>
      <c r="HO562" s="91"/>
      <c r="HP562" s="91"/>
      <c r="HQ562" s="91"/>
      <c r="HR562" s="91"/>
      <c r="HS562" s="91"/>
      <c r="HT562" s="91"/>
      <c r="HU562" s="91"/>
      <c r="HV562" s="91"/>
      <c r="HW562" s="91"/>
      <c r="HX562" s="91"/>
      <c r="HY562" s="91"/>
      <c r="HZ562" s="91"/>
      <c r="IA562" s="91"/>
      <c r="IB562" s="91"/>
      <c r="IC562" s="91"/>
      <c r="ID562" s="91"/>
      <c r="IE562" s="91"/>
    </row>
    <row r="563" spans="2:239" ht="15" x14ac:dyDescent="0.2">
      <c r="B563" s="91"/>
      <c r="C563" s="91"/>
      <c r="D563" s="91"/>
      <c r="E563" s="227"/>
      <c r="F563" s="91"/>
      <c r="G563" s="91"/>
      <c r="H563" s="91"/>
      <c r="I563" s="91"/>
      <c r="J563" s="91"/>
      <c r="K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c r="GU563" s="91"/>
      <c r="GV563" s="91"/>
      <c r="GW563" s="91"/>
      <c r="GX563" s="91"/>
      <c r="GY563" s="91"/>
      <c r="GZ563" s="91"/>
      <c r="HA563" s="91"/>
      <c r="HB563" s="91"/>
      <c r="HC563" s="91"/>
      <c r="HD563" s="91"/>
      <c r="HE563" s="91"/>
      <c r="HF563" s="91"/>
      <c r="HG563" s="91"/>
      <c r="HH563" s="91"/>
      <c r="HI563" s="91"/>
      <c r="HJ563" s="91"/>
      <c r="HK563" s="91"/>
      <c r="HL563" s="91"/>
      <c r="HM563" s="91"/>
      <c r="HN563" s="91"/>
      <c r="HO563" s="91"/>
      <c r="HP563" s="91"/>
      <c r="HQ563" s="91"/>
      <c r="HR563" s="91"/>
      <c r="HS563" s="91"/>
      <c r="HT563" s="91"/>
      <c r="HU563" s="91"/>
      <c r="HV563" s="91"/>
      <c r="HW563" s="91"/>
      <c r="HX563" s="91"/>
      <c r="HY563" s="91"/>
      <c r="HZ563" s="91"/>
      <c r="IA563" s="91"/>
      <c r="IB563" s="91"/>
      <c r="IC563" s="91"/>
      <c r="ID563" s="91"/>
      <c r="IE563" s="91"/>
    </row>
    <row r="564" spans="2:239" ht="15" x14ac:dyDescent="0.2">
      <c r="B564" s="91"/>
      <c r="C564" s="91"/>
      <c r="D564" s="91"/>
      <c r="E564" s="227"/>
      <c r="F564" s="91"/>
      <c r="G564" s="91"/>
      <c r="H564" s="91"/>
      <c r="I564" s="91"/>
      <c r="J564" s="91"/>
      <c r="K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c r="GU564" s="91"/>
      <c r="GV564" s="91"/>
      <c r="GW564" s="91"/>
      <c r="GX564" s="91"/>
      <c r="GY564" s="91"/>
      <c r="GZ564" s="91"/>
      <c r="HA564" s="91"/>
      <c r="HB564" s="91"/>
      <c r="HC564" s="91"/>
      <c r="HD564" s="91"/>
      <c r="HE564" s="91"/>
      <c r="HF564" s="91"/>
      <c r="HG564" s="91"/>
      <c r="HH564" s="91"/>
      <c r="HI564" s="91"/>
      <c r="HJ564" s="91"/>
      <c r="HK564" s="91"/>
      <c r="HL564" s="91"/>
      <c r="HM564" s="91"/>
      <c r="HN564" s="91"/>
      <c r="HO564" s="91"/>
      <c r="HP564" s="91"/>
      <c r="HQ564" s="91"/>
      <c r="HR564" s="91"/>
      <c r="HS564" s="91"/>
      <c r="HT564" s="91"/>
      <c r="HU564" s="91"/>
      <c r="HV564" s="91"/>
      <c r="HW564" s="91"/>
      <c r="HX564" s="91"/>
      <c r="HY564" s="91"/>
      <c r="HZ564" s="91"/>
      <c r="IA564" s="91"/>
      <c r="IB564" s="91"/>
      <c r="IC564" s="91"/>
      <c r="ID564" s="91"/>
      <c r="IE564" s="91"/>
    </row>
    <row r="565" spans="2:239" ht="15" x14ac:dyDescent="0.2">
      <c r="B565" s="91"/>
      <c r="C565" s="91"/>
      <c r="D565" s="91"/>
      <c r="E565" s="227"/>
      <c r="F565" s="91"/>
      <c r="G565" s="91"/>
      <c r="H565" s="91"/>
      <c r="I565" s="91"/>
      <c r="J565" s="91"/>
      <c r="K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c r="GU565" s="91"/>
      <c r="GV565" s="91"/>
      <c r="GW565" s="91"/>
      <c r="GX565" s="91"/>
      <c r="GY565" s="91"/>
      <c r="GZ565" s="91"/>
      <c r="HA565" s="91"/>
      <c r="HB565" s="91"/>
      <c r="HC565" s="91"/>
      <c r="HD565" s="91"/>
      <c r="HE565" s="91"/>
      <c r="HF565" s="91"/>
      <c r="HG565" s="91"/>
      <c r="HH565" s="91"/>
      <c r="HI565" s="91"/>
      <c r="HJ565" s="91"/>
      <c r="HK565" s="91"/>
      <c r="HL565" s="91"/>
      <c r="HM565" s="91"/>
      <c r="HN565" s="91"/>
      <c r="HO565" s="91"/>
      <c r="HP565" s="91"/>
      <c r="HQ565" s="91"/>
      <c r="HR565" s="91"/>
      <c r="HS565" s="91"/>
      <c r="HT565" s="91"/>
      <c r="HU565" s="91"/>
      <c r="HV565" s="91"/>
      <c r="HW565" s="91"/>
      <c r="HX565" s="91"/>
      <c r="HY565" s="91"/>
      <c r="HZ565" s="91"/>
      <c r="IA565" s="91"/>
      <c r="IB565" s="91"/>
      <c r="IC565" s="91"/>
      <c r="ID565" s="91"/>
      <c r="IE565" s="91"/>
    </row>
    <row r="566" spans="2:239" ht="15" x14ac:dyDescent="0.2">
      <c r="B566" s="91"/>
      <c r="C566" s="91"/>
      <c r="D566" s="91"/>
      <c r="E566" s="227"/>
      <c r="F566" s="91"/>
      <c r="G566" s="91"/>
      <c r="H566" s="91"/>
      <c r="I566" s="91"/>
      <c r="J566" s="91"/>
      <c r="K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c r="GU566" s="91"/>
      <c r="GV566" s="91"/>
      <c r="GW566" s="91"/>
      <c r="GX566" s="91"/>
      <c r="GY566" s="91"/>
      <c r="GZ566" s="91"/>
      <c r="HA566" s="91"/>
      <c r="HB566" s="91"/>
      <c r="HC566" s="91"/>
      <c r="HD566" s="91"/>
      <c r="HE566" s="91"/>
      <c r="HF566" s="91"/>
      <c r="HG566" s="91"/>
      <c r="HH566" s="91"/>
      <c r="HI566" s="91"/>
      <c r="HJ566" s="91"/>
      <c r="HK566" s="91"/>
      <c r="HL566" s="91"/>
      <c r="HM566" s="91"/>
      <c r="HN566" s="91"/>
      <c r="HO566" s="91"/>
      <c r="HP566" s="91"/>
      <c r="HQ566" s="91"/>
      <c r="HR566" s="91"/>
      <c r="HS566" s="91"/>
      <c r="HT566" s="91"/>
      <c r="HU566" s="91"/>
      <c r="HV566" s="91"/>
      <c r="HW566" s="91"/>
      <c r="HX566" s="91"/>
      <c r="HY566" s="91"/>
      <c r="HZ566" s="91"/>
      <c r="IA566" s="91"/>
      <c r="IB566" s="91"/>
      <c r="IC566" s="91"/>
      <c r="ID566" s="91"/>
      <c r="IE566" s="91"/>
    </row>
    <row r="567" spans="2:239" ht="15" x14ac:dyDescent="0.2">
      <c r="B567" s="91"/>
      <c r="C567" s="91"/>
      <c r="D567" s="91"/>
      <c r="E567" s="227"/>
      <c r="F567" s="91"/>
      <c r="G567" s="91"/>
      <c r="H567" s="91"/>
      <c r="I567" s="91"/>
      <c r="J567" s="91"/>
      <c r="K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c r="GU567" s="91"/>
      <c r="GV567" s="91"/>
      <c r="GW567" s="91"/>
      <c r="GX567" s="91"/>
      <c r="GY567" s="91"/>
      <c r="GZ567" s="91"/>
      <c r="HA567" s="91"/>
      <c r="HB567" s="91"/>
      <c r="HC567" s="91"/>
      <c r="HD567" s="91"/>
      <c r="HE567" s="91"/>
      <c r="HF567" s="91"/>
      <c r="HG567" s="91"/>
      <c r="HH567" s="91"/>
      <c r="HI567" s="91"/>
      <c r="HJ567" s="91"/>
      <c r="HK567" s="91"/>
      <c r="HL567" s="91"/>
      <c r="HM567" s="91"/>
      <c r="HN567" s="91"/>
      <c r="HO567" s="91"/>
      <c r="HP567" s="91"/>
      <c r="HQ567" s="91"/>
      <c r="HR567" s="91"/>
      <c r="HS567" s="91"/>
      <c r="HT567" s="91"/>
      <c r="HU567" s="91"/>
      <c r="HV567" s="91"/>
      <c r="HW567" s="91"/>
      <c r="HX567" s="91"/>
      <c r="HY567" s="91"/>
      <c r="HZ567" s="91"/>
      <c r="IA567" s="91"/>
      <c r="IB567" s="91"/>
      <c r="IC567" s="91"/>
      <c r="ID567" s="91"/>
      <c r="IE567" s="91"/>
    </row>
    <row r="568" spans="2:239" ht="15" x14ac:dyDescent="0.2">
      <c r="B568" s="91"/>
      <c r="C568" s="91"/>
      <c r="D568" s="91"/>
      <c r="E568" s="227"/>
      <c r="F568" s="91"/>
      <c r="G568" s="91"/>
      <c r="H568" s="91"/>
      <c r="I568" s="91"/>
      <c r="J568" s="91"/>
      <c r="K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c r="HV568" s="91"/>
      <c r="HW568" s="91"/>
      <c r="HX568" s="91"/>
      <c r="HY568" s="91"/>
      <c r="HZ568" s="91"/>
      <c r="IA568" s="91"/>
      <c r="IB568" s="91"/>
      <c r="IC568" s="91"/>
      <c r="ID568" s="91"/>
      <c r="IE568" s="91"/>
    </row>
    <row r="569" spans="2:239" ht="15" x14ac:dyDescent="0.2">
      <c r="B569" s="91"/>
      <c r="C569" s="91"/>
      <c r="D569" s="91"/>
      <c r="E569" s="227"/>
      <c r="F569" s="91"/>
      <c r="G569" s="91"/>
      <c r="H569" s="91"/>
      <c r="I569" s="91"/>
      <c r="J569" s="91"/>
      <c r="K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c r="GU569" s="91"/>
      <c r="GV569" s="91"/>
      <c r="GW569" s="91"/>
      <c r="GX569" s="91"/>
      <c r="GY569" s="91"/>
      <c r="GZ569" s="91"/>
      <c r="HA569" s="91"/>
      <c r="HB569" s="91"/>
      <c r="HC569" s="91"/>
      <c r="HD569" s="91"/>
      <c r="HE569" s="91"/>
      <c r="HF569" s="91"/>
      <c r="HG569" s="91"/>
      <c r="HH569" s="91"/>
      <c r="HI569" s="91"/>
      <c r="HJ569" s="91"/>
      <c r="HK569" s="91"/>
      <c r="HL569" s="91"/>
      <c r="HM569" s="91"/>
      <c r="HN569" s="91"/>
      <c r="HO569" s="91"/>
      <c r="HP569" s="91"/>
      <c r="HQ569" s="91"/>
      <c r="HR569" s="91"/>
      <c r="HS569" s="91"/>
      <c r="HT569" s="91"/>
      <c r="HU569" s="91"/>
      <c r="HV569" s="91"/>
      <c r="HW569" s="91"/>
      <c r="HX569" s="91"/>
      <c r="HY569" s="91"/>
      <c r="HZ569" s="91"/>
      <c r="IA569" s="91"/>
      <c r="IB569" s="91"/>
      <c r="IC569" s="91"/>
      <c r="ID569" s="91"/>
      <c r="IE569" s="91"/>
    </row>
    <row r="570" spans="2:239" ht="15" x14ac:dyDescent="0.2">
      <c r="B570" s="91"/>
      <c r="C570" s="91"/>
      <c r="D570" s="91"/>
      <c r="E570" s="227"/>
      <c r="F570" s="91"/>
      <c r="G570" s="91"/>
      <c r="H570" s="91"/>
      <c r="I570" s="91"/>
      <c r="J570" s="91"/>
      <c r="K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c r="GU570" s="91"/>
      <c r="GV570" s="91"/>
      <c r="GW570" s="91"/>
      <c r="GX570" s="91"/>
      <c r="GY570" s="91"/>
      <c r="GZ570" s="91"/>
      <c r="HA570" s="91"/>
      <c r="HB570" s="91"/>
      <c r="HC570" s="91"/>
      <c r="HD570" s="91"/>
      <c r="HE570" s="91"/>
      <c r="HF570" s="91"/>
      <c r="HG570" s="91"/>
      <c r="HH570" s="91"/>
      <c r="HI570" s="91"/>
      <c r="HJ570" s="91"/>
      <c r="HK570" s="91"/>
      <c r="HL570" s="91"/>
      <c r="HM570" s="91"/>
      <c r="HN570" s="91"/>
      <c r="HO570" s="91"/>
      <c r="HP570" s="91"/>
      <c r="HQ570" s="91"/>
      <c r="HR570" s="91"/>
      <c r="HS570" s="91"/>
      <c r="HT570" s="91"/>
      <c r="HU570" s="91"/>
      <c r="HV570" s="91"/>
      <c r="HW570" s="91"/>
      <c r="HX570" s="91"/>
      <c r="HY570" s="91"/>
      <c r="HZ570" s="91"/>
      <c r="IA570" s="91"/>
      <c r="IB570" s="91"/>
      <c r="IC570" s="91"/>
      <c r="ID570" s="91"/>
      <c r="IE570" s="91"/>
    </row>
    <row r="571" spans="2:239" ht="15" x14ac:dyDescent="0.2">
      <c r="B571" s="91"/>
      <c r="C571" s="91"/>
      <c r="D571" s="91"/>
      <c r="E571" s="227"/>
      <c r="F571" s="91"/>
      <c r="G571" s="91"/>
      <c r="H571" s="91"/>
      <c r="I571" s="91"/>
      <c r="J571" s="91"/>
      <c r="K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c r="HV571" s="91"/>
      <c r="HW571" s="91"/>
      <c r="HX571" s="91"/>
      <c r="HY571" s="91"/>
      <c r="HZ571" s="91"/>
      <c r="IA571" s="91"/>
      <c r="IB571" s="91"/>
      <c r="IC571" s="91"/>
      <c r="ID571" s="91"/>
      <c r="IE571" s="91"/>
    </row>
    <row r="572" spans="2:239" ht="15" x14ac:dyDescent="0.2">
      <c r="B572" s="91"/>
      <c r="C572" s="91"/>
      <c r="D572" s="91"/>
      <c r="E572" s="227"/>
      <c r="F572" s="91"/>
      <c r="G572" s="91"/>
      <c r="H572" s="91"/>
      <c r="I572" s="91"/>
      <c r="J572" s="91"/>
      <c r="K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c r="HV572" s="91"/>
      <c r="HW572" s="91"/>
      <c r="HX572" s="91"/>
      <c r="HY572" s="91"/>
      <c r="HZ572" s="91"/>
      <c r="IA572" s="91"/>
      <c r="IB572" s="91"/>
      <c r="IC572" s="91"/>
      <c r="ID572" s="91"/>
      <c r="IE572" s="91"/>
    </row>
    <row r="573" spans="2:239" ht="15" x14ac:dyDescent="0.2">
      <c r="B573" s="91"/>
      <c r="C573" s="91"/>
      <c r="D573" s="91"/>
      <c r="E573" s="227"/>
      <c r="F573" s="91"/>
      <c r="G573" s="91"/>
      <c r="H573" s="91"/>
      <c r="I573" s="91"/>
      <c r="J573" s="91"/>
      <c r="K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c r="HV573" s="91"/>
      <c r="HW573" s="91"/>
      <c r="HX573" s="91"/>
      <c r="HY573" s="91"/>
      <c r="HZ573" s="91"/>
      <c r="IA573" s="91"/>
      <c r="IB573" s="91"/>
      <c r="IC573" s="91"/>
      <c r="ID573" s="91"/>
      <c r="IE573" s="91"/>
    </row>
    <row r="574" spans="2:239" ht="15" x14ac:dyDescent="0.2">
      <c r="B574" s="91"/>
      <c r="C574" s="91"/>
      <c r="D574" s="91"/>
      <c r="E574" s="227"/>
      <c r="F574" s="91"/>
      <c r="G574" s="91"/>
      <c r="H574" s="91"/>
      <c r="I574" s="91"/>
      <c r="J574" s="91"/>
      <c r="K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c r="HV574" s="91"/>
      <c r="HW574" s="91"/>
      <c r="HX574" s="91"/>
      <c r="HY574" s="91"/>
      <c r="HZ574" s="91"/>
      <c r="IA574" s="91"/>
      <c r="IB574" s="91"/>
      <c r="IC574" s="91"/>
      <c r="ID574" s="91"/>
      <c r="IE574" s="91"/>
    </row>
    <row r="575" spans="2:239" ht="15" x14ac:dyDescent="0.2">
      <c r="B575" s="91"/>
      <c r="C575" s="91"/>
      <c r="D575" s="91"/>
      <c r="E575" s="227"/>
      <c r="F575" s="91"/>
      <c r="G575" s="91"/>
      <c r="H575" s="91"/>
      <c r="I575" s="91"/>
      <c r="J575" s="91"/>
      <c r="K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c r="HV575" s="91"/>
      <c r="HW575" s="91"/>
      <c r="HX575" s="91"/>
      <c r="HY575" s="91"/>
      <c r="HZ575" s="91"/>
      <c r="IA575" s="91"/>
      <c r="IB575" s="91"/>
      <c r="IC575" s="91"/>
      <c r="ID575" s="91"/>
      <c r="IE575" s="91"/>
    </row>
    <row r="576" spans="2:239" ht="15" x14ac:dyDescent="0.2">
      <c r="B576" s="91"/>
      <c r="C576" s="91"/>
      <c r="D576" s="91"/>
      <c r="E576" s="227"/>
      <c r="F576" s="91"/>
      <c r="G576" s="91"/>
      <c r="H576" s="91"/>
      <c r="I576" s="91"/>
      <c r="J576" s="91"/>
      <c r="K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c r="GU576" s="91"/>
      <c r="GV576" s="91"/>
      <c r="GW576" s="91"/>
      <c r="GX576" s="91"/>
      <c r="GY576" s="91"/>
      <c r="GZ576" s="91"/>
      <c r="HA576" s="91"/>
      <c r="HB576" s="91"/>
      <c r="HC576" s="91"/>
      <c r="HD576" s="91"/>
      <c r="HE576" s="91"/>
      <c r="HF576" s="91"/>
      <c r="HG576" s="91"/>
      <c r="HH576" s="91"/>
      <c r="HI576" s="91"/>
      <c r="HJ576" s="91"/>
      <c r="HK576" s="91"/>
      <c r="HL576" s="91"/>
      <c r="HM576" s="91"/>
      <c r="HN576" s="91"/>
      <c r="HO576" s="91"/>
      <c r="HP576" s="91"/>
      <c r="HQ576" s="91"/>
      <c r="HR576" s="91"/>
      <c r="HS576" s="91"/>
      <c r="HT576" s="91"/>
      <c r="HU576" s="91"/>
      <c r="HV576" s="91"/>
      <c r="HW576" s="91"/>
      <c r="HX576" s="91"/>
      <c r="HY576" s="91"/>
      <c r="HZ576" s="91"/>
      <c r="IA576" s="91"/>
      <c r="IB576" s="91"/>
      <c r="IC576" s="91"/>
      <c r="ID576" s="91"/>
      <c r="IE576" s="91"/>
    </row>
    <row r="577" spans="2:239" ht="15" x14ac:dyDescent="0.2">
      <c r="B577" s="91"/>
      <c r="C577" s="91"/>
      <c r="D577" s="91"/>
      <c r="E577" s="227"/>
      <c r="F577" s="91"/>
      <c r="G577" s="91"/>
      <c r="H577" s="91"/>
      <c r="I577" s="91"/>
      <c r="J577" s="91"/>
      <c r="K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c r="GU577" s="91"/>
      <c r="GV577" s="91"/>
      <c r="GW577" s="91"/>
      <c r="GX577" s="91"/>
      <c r="GY577" s="91"/>
      <c r="GZ577" s="91"/>
      <c r="HA577" s="91"/>
      <c r="HB577" s="91"/>
      <c r="HC577" s="91"/>
      <c r="HD577" s="91"/>
      <c r="HE577" s="91"/>
      <c r="HF577" s="91"/>
      <c r="HG577" s="91"/>
      <c r="HH577" s="91"/>
      <c r="HI577" s="91"/>
      <c r="HJ577" s="91"/>
      <c r="HK577" s="91"/>
      <c r="HL577" s="91"/>
      <c r="HM577" s="91"/>
      <c r="HN577" s="91"/>
      <c r="HO577" s="91"/>
      <c r="HP577" s="91"/>
      <c r="HQ577" s="91"/>
      <c r="HR577" s="91"/>
      <c r="HS577" s="91"/>
      <c r="HT577" s="91"/>
      <c r="HU577" s="91"/>
      <c r="HV577" s="91"/>
      <c r="HW577" s="91"/>
      <c r="HX577" s="91"/>
      <c r="HY577" s="91"/>
      <c r="HZ577" s="91"/>
      <c r="IA577" s="91"/>
      <c r="IB577" s="91"/>
      <c r="IC577" s="91"/>
      <c r="ID577" s="91"/>
      <c r="IE577" s="91"/>
    </row>
    <row r="578" spans="2:239" ht="15" x14ac:dyDescent="0.2">
      <c r="B578" s="91"/>
      <c r="C578" s="91"/>
      <c r="D578" s="91"/>
      <c r="E578" s="227"/>
      <c r="F578" s="91"/>
      <c r="G578" s="91"/>
      <c r="H578" s="91"/>
      <c r="I578" s="91"/>
      <c r="J578" s="91"/>
      <c r="K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c r="HV578" s="91"/>
      <c r="HW578" s="91"/>
      <c r="HX578" s="91"/>
      <c r="HY578" s="91"/>
      <c r="HZ578" s="91"/>
      <c r="IA578" s="91"/>
      <c r="IB578" s="91"/>
      <c r="IC578" s="91"/>
      <c r="ID578" s="91"/>
      <c r="IE578" s="91"/>
    </row>
    <row r="579" spans="2:239" ht="15" x14ac:dyDescent="0.2">
      <c r="B579" s="91"/>
      <c r="C579" s="91"/>
      <c r="D579" s="91"/>
      <c r="E579" s="227"/>
      <c r="F579" s="91"/>
      <c r="G579" s="91"/>
      <c r="H579" s="91"/>
      <c r="I579" s="91"/>
      <c r="J579" s="91"/>
      <c r="K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c r="GU579" s="91"/>
      <c r="GV579" s="91"/>
      <c r="GW579" s="91"/>
      <c r="GX579" s="91"/>
      <c r="GY579" s="91"/>
      <c r="GZ579" s="91"/>
      <c r="HA579" s="91"/>
      <c r="HB579" s="91"/>
      <c r="HC579" s="91"/>
      <c r="HD579" s="91"/>
      <c r="HE579" s="91"/>
      <c r="HF579" s="91"/>
      <c r="HG579" s="91"/>
      <c r="HH579" s="91"/>
      <c r="HI579" s="91"/>
      <c r="HJ579" s="91"/>
      <c r="HK579" s="91"/>
      <c r="HL579" s="91"/>
      <c r="HM579" s="91"/>
      <c r="HN579" s="91"/>
      <c r="HO579" s="91"/>
      <c r="HP579" s="91"/>
      <c r="HQ579" s="91"/>
      <c r="HR579" s="91"/>
      <c r="HS579" s="91"/>
      <c r="HT579" s="91"/>
      <c r="HU579" s="91"/>
      <c r="HV579" s="91"/>
      <c r="HW579" s="91"/>
      <c r="HX579" s="91"/>
      <c r="HY579" s="91"/>
      <c r="HZ579" s="91"/>
      <c r="IA579" s="91"/>
      <c r="IB579" s="91"/>
      <c r="IC579" s="91"/>
      <c r="ID579" s="91"/>
      <c r="IE579" s="91"/>
    </row>
    <row r="580" spans="2:239" ht="15" x14ac:dyDescent="0.2">
      <c r="B580" s="91"/>
      <c r="C580" s="91"/>
      <c r="D580" s="91"/>
      <c r="E580" s="227"/>
      <c r="F580" s="91"/>
      <c r="G580" s="91"/>
      <c r="H580" s="91"/>
      <c r="I580" s="91"/>
      <c r="J580" s="91"/>
      <c r="K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c r="GU580" s="91"/>
      <c r="GV580" s="91"/>
      <c r="GW580" s="91"/>
      <c r="GX580" s="91"/>
      <c r="GY580" s="91"/>
      <c r="GZ580" s="91"/>
      <c r="HA580" s="91"/>
      <c r="HB580" s="91"/>
      <c r="HC580" s="91"/>
      <c r="HD580" s="91"/>
      <c r="HE580" s="91"/>
      <c r="HF580" s="91"/>
      <c r="HG580" s="91"/>
      <c r="HH580" s="91"/>
      <c r="HI580" s="91"/>
      <c r="HJ580" s="91"/>
      <c r="HK580" s="91"/>
      <c r="HL580" s="91"/>
      <c r="HM580" s="91"/>
      <c r="HN580" s="91"/>
      <c r="HO580" s="91"/>
      <c r="HP580" s="91"/>
      <c r="HQ580" s="91"/>
      <c r="HR580" s="91"/>
      <c r="HS580" s="91"/>
      <c r="HT580" s="91"/>
      <c r="HU580" s="91"/>
      <c r="HV580" s="91"/>
      <c r="HW580" s="91"/>
      <c r="HX580" s="91"/>
      <c r="HY580" s="91"/>
      <c r="HZ580" s="91"/>
      <c r="IA580" s="91"/>
      <c r="IB580" s="91"/>
      <c r="IC580" s="91"/>
      <c r="ID580" s="91"/>
      <c r="IE580" s="91"/>
    </row>
    <row r="581" spans="2:239" ht="15" x14ac:dyDescent="0.2">
      <c r="B581" s="91"/>
      <c r="C581" s="91"/>
      <c r="D581" s="91"/>
      <c r="E581" s="227"/>
      <c r="F581" s="91"/>
      <c r="G581" s="91"/>
      <c r="H581" s="91"/>
      <c r="I581" s="91"/>
      <c r="J581" s="91"/>
      <c r="K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c r="GU581" s="91"/>
      <c r="GV581" s="91"/>
      <c r="GW581" s="91"/>
      <c r="GX581" s="91"/>
      <c r="GY581" s="91"/>
      <c r="GZ581" s="91"/>
      <c r="HA581" s="91"/>
      <c r="HB581" s="91"/>
      <c r="HC581" s="91"/>
      <c r="HD581" s="91"/>
      <c r="HE581" s="91"/>
      <c r="HF581" s="91"/>
      <c r="HG581" s="91"/>
      <c r="HH581" s="91"/>
      <c r="HI581" s="91"/>
      <c r="HJ581" s="91"/>
      <c r="HK581" s="91"/>
      <c r="HL581" s="91"/>
      <c r="HM581" s="91"/>
      <c r="HN581" s="91"/>
      <c r="HO581" s="91"/>
      <c r="HP581" s="91"/>
      <c r="HQ581" s="91"/>
      <c r="HR581" s="91"/>
      <c r="HS581" s="91"/>
      <c r="HT581" s="91"/>
      <c r="HU581" s="91"/>
      <c r="HV581" s="91"/>
      <c r="HW581" s="91"/>
      <c r="HX581" s="91"/>
      <c r="HY581" s="91"/>
      <c r="HZ581" s="91"/>
      <c r="IA581" s="91"/>
      <c r="IB581" s="91"/>
      <c r="IC581" s="91"/>
      <c r="ID581" s="91"/>
      <c r="IE581" s="91"/>
    </row>
    <row r="582" spans="2:239" ht="15" x14ac:dyDescent="0.2">
      <c r="B582" s="91"/>
      <c r="C582" s="91"/>
      <c r="D582" s="91"/>
      <c r="E582" s="227"/>
      <c r="F582" s="91"/>
      <c r="G582" s="91"/>
      <c r="H582" s="91"/>
      <c r="I582" s="91"/>
      <c r="J582" s="91"/>
      <c r="K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c r="GU582" s="91"/>
      <c r="GV582" s="91"/>
      <c r="GW582" s="91"/>
      <c r="GX582" s="91"/>
      <c r="GY582" s="91"/>
      <c r="GZ582" s="91"/>
      <c r="HA582" s="91"/>
      <c r="HB582" s="91"/>
      <c r="HC582" s="91"/>
      <c r="HD582" s="91"/>
      <c r="HE582" s="91"/>
      <c r="HF582" s="91"/>
      <c r="HG582" s="91"/>
      <c r="HH582" s="91"/>
      <c r="HI582" s="91"/>
      <c r="HJ582" s="91"/>
      <c r="HK582" s="91"/>
      <c r="HL582" s="91"/>
      <c r="HM582" s="91"/>
      <c r="HN582" s="91"/>
      <c r="HO582" s="91"/>
      <c r="HP582" s="91"/>
      <c r="HQ582" s="91"/>
      <c r="HR582" s="91"/>
      <c r="HS582" s="91"/>
      <c r="HT582" s="91"/>
      <c r="HU582" s="91"/>
      <c r="HV582" s="91"/>
      <c r="HW582" s="91"/>
      <c r="HX582" s="91"/>
      <c r="HY582" s="91"/>
      <c r="HZ582" s="91"/>
      <c r="IA582" s="91"/>
      <c r="IB582" s="91"/>
      <c r="IC582" s="91"/>
      <c r="ID582" s="91"/>
      <c r="IE582" s="91"/>
    </row>
    <row r="583" spans="2:239" ht="15" x14ac:dyDescent="0.2">
      <c r="B583" s="91"/>
      <c r="C583" s="91"/>
      <c r="D583" s="91"/>
      <c r="E583" s="227"/>
      <c r="F583" s="91"/>
      <c r="G583" s="91"/>
      <c r="H583" s="91"/>
      <c r="I583" s="91"/>
      <c r="J583" s="91"/>
      <c r="K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c r="GU583" s="91"/>
      <c r="GV583" s="91"/>
      <c r="GW583" s="91"/>
      <c r="GX583" s="91"/>
      <c r="GY583" s="91"/>
      <c r="GZ583" s="91"/>
      <c r="HA583" s="91"/>
      <c r="HB583" s="91"/>
      <c r="HC583" s="91"/>
      <c r="HD583" s="91"/>
      <c r="HE583" s="91"/>
      <c r="HF583" s="91"/>
      <c r="HG583" s="91"/>
      <c r="HH583" s="91"/>
      <c r="HI583" s="91"/>
      <c r="HJ583" s="91"/>
      <c r="HK583" s="91"/>
      <c r="HL583" s="91"/>
      <c r="HM583" s="91"/>
      <c r="HN583" s="91"/>
      <c r="HO583" s="91"/>
      <c r="HP583" s="91"/>
      <c r="HQ583" s="91"/>
      <c r="HR583" s="91"/>
      <c r="HS583" s="91"/>
      <c r="HT583" s="91"/>
      <c r="HU583" s="91"/>
      <c r="HV583" s="91"/>
      <c r="HW583" s="91"/>
      <c r="HX583" s="91"/>
      <c r="HY583" s="91"/>
      <c r="HZ583" s="91"/>
      <c r="IA583" s="91"/>
      <c r="IB583" s="91"/>
      <c r="IC583" s="91"/>
      <c r="ID583" s="91"/>
      <c r="IE583" s="91"/>
    </row>
    <row r="584" spans="2:239" ht="15" x14ac:dyDescent="0.2">
      <c r="B584" s="91"/>
      <c r="C584" s="91"/>
      <c r="D584" s="91"/>
      <c r="E584" s="227"/>
      <c r="F584" s="91"/>
      <c r="G584" s="91"/>
      <c r="H584" s="91"/>
      <c r="I584" s="91"/>
      <c r="J584" s="91"/>
      <c r="K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c r="GU584" s="91"/>
      <c r="GV584" s="91"/>
      <c r="GW584" s="91"/>
      <c r="GX584" s="91"/>
      <c r="GY584" s="91"/>
      <c r="GZ584" s="91"/>
      <c r="HA584" s="91"/>
      <c r="HB584" s="91"/>
      <c r="HC584" s="91"/>
      <c r="HD584" s="91"/>
      <c r="HE584" s="91"/>
      <c r="HF584" s="91"/>
      <c r="HG584" s="91"/>
      <c r="HH584" s="91"/>
      <c r="HI584" s="91"/>
      <c r="HJ584" s="91"/>
      <c r="HK584" s="91"/>
      <c r="HL584" s="91"/>
      <c r="HM584" s="91"/>
      <c r="HN584" s="91"/>
      <c r="HO584" s="91"/>
      <c r="HP584" s="91"/>
      <c r="HQ584" s="91"/>
      <c r="HR584" s="91"/>
      <c r="HS584" s="91"/>
      <c r="HT584" s="91"/>
      <c r="HU584" s="91"/>
      <c r="HV584" s="91"/>
      <c r="HW584" s="91"/>
      <c r="HX584" s="91"/>
      <c r="HY584" s="91"/>
      <c r="HZ584" s="91"/>
      <c r="IA584" s="91"/>
      <c r="IB584" s="91"/>
      <c r="IC584" s="91"/>
      <c r="ID584" s="91"/>
      <c r="IE584" s="91"/>
    </row>
    <row r="585" spans="2:239" ht="15" x14ac:dyDescent="0.2">
      <c r="B585" s="91"/>
      <c r="C585" s="91"/>
      <c r="D585" s="91"/>
      <c r="E585" s="227"/>
      <c r="F585" s="91"/>
      <c r="G585" s="91"/>
      <c r="H585" s="91"/>
      <c r="I585" s="91"/>
      <c r="J585" s="91"/>
      <c r="K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c r="HV585" s="91"/>
      <c r="HW585" s="91"/>
      <c r="HX585" s="91"/>
      <c r="HY585" s="91"/>
      <c r="HZ585" s="91"/>
      <c r="IA585" s="91"/>
      <c r="IB585" s="91"/>
      <c r="IC585" s="91"/>
      <c r="ID585" s="91"/>
      <c r="IE585" s="91"/>
    </row>
    <row r="586" spans="2:239" ht="15" x14ac:dyDescent="0.2">
      <c r="B586" s="91"/>
      <c r="C586" s="91"/>
      <c r="D586" s="91"/>
      <c r="E586" s="227"/>
      <c r="F586" s="91"/>
      <c r="G586" s="91"/>
      <c r="H586" s="91"/>
      <c r="I586" s="91"/>
      <c r="J586" s="91"/>
      <c r="K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c r="HV586" s="91"/>
      <c r="HW586" s="91"/>
      <c r="HX586" s="91"/>
      <c r="HY586" s="91"/>
      <c r="HZ586" s="91"/>
      <c r="IA586" s="91"/>
      <c r="IB586" s="91"/>
      <c r="IC586" s="91"/>
      <c r="ID586" s="91"/>
      <c r="IE586" s="91"/>
    </row>
    <row r="587" spans="2:239" ht="15" x14ac:dyDescent="0.2">
      <c r="B587" s="91"/>
      <c r="C587" s="91"/>
      <c r="D587" s="91"/>
      <c r="E587" s="227"/>
      <c r="F587" s="91"/>
      <c r="G587" s="91"/>
      <c r="H587" s="91"/>
      <c r="I587" s="91"/>
      <c r="J587" s="91"/>
      <c r="K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c r="GU587" s="91"/>
      <c r="GV587" s="91"/>
      <c r="GW587" s="91"/>
      <c r="GX587" s="91"/>
      <c r="GY587" s="91"/>
      <c r="GZ587" s="91"/>
      <c r="HA587" s="91"/>
      <c r="HB587" s="91"/>
      <c r="HC587" s="91"/>
      <c r="HD587" s="91"/>
      <c r="HE587" s="91"/>
      <c r="HF587" s="91"/>
      <c r="HG587" s="91"/>
      <c r="HH587" s="91"/>
      <c r="HI587" s="91"/>
      <c r="HJ587" s="91"/>
      <c r="HK587" s="91"/>
      <c r="HL587" s="91"/>
      <c r="HM587" s="91"/>
      <c r="HN587" s="91"/>
      <c r="HO587" s="91"/>
      <c r="HP587" s="91"/>
      <c r="HQ587" s="91"/>
      <c r="HR587" s="91"/>
      <c r="HS587" s="91"/>
      <c r="HT587" s="91"/>
      <c r="HU587" s="91"/>
      <c r="HV587" s="91"/>
      <c r="HW587" s="91"/>
      <c r="HX587" s="91"/>
      <c r="HY587" s="91"/>
      <c r="HZ587" s="91"/>
      <c r="IA587" s="91"/>
      <c r="IB587" s="91"/>
      <c r="IC587" s="91"/>
      <c r="ID587" s="91"/>
      <c r="IE587" s="91"/>
    </row>
    <row r="588" spans="2:239" ht="15" x14ac:dyDescent="0.2">
      <c r="B588" s="91"/>
      <c r="C588" s="91"/>
      <c r="D588" s="91"/>
      <c r="E588" s="227"/>
      <c r="F588" s="91"/>
      <c r="G588" s="91"/>
      <c r="H588" s="91"/>
      <c r="I588" s="91"/>
      <c r="J588" s="91"/>
      <c r="K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c r="GU588" s="91"/>
      <c r="GV588" s="91"/>
      <c r="GW588" s="91"/>
      <c r="GX588" s="91"/>
      <c r="GY588" s="91"/>
      <c r="GZ588" s="91"/>
      <c r="HA588" s="91"/>
      <c r="HB588" s="91"/>
      <c r="HC588" s="91"/>
      <c r="HD588" s="91"/>
      <c r="HE588" s="91"/>
      <c r="HF588" s="91"/>
      <c r="HG588" s="91"/>
      <c r="HH588" s="91"/>
      <c r="HI588" s="91"/>
      <c r="HJ588" s="91"/>
      <c r="HK588" s="91"/>
      <c r="HL588" s="91"/>
      <c r="HM588" s="91"/>
      <c r="HN588" s="91"/>
      <c r="HO588" s="91"/>
      <c r="HP588" s="91"/>
      <c r="HQ588" s="91"/>
      <c r="HR588" s="91"/>
      <c r="HS588" s="91"/>
      <c r="HT588" s="91"/>
      <c r="HU588" s="91"/>
      <c r="HV588" s="91"/>
      <c r="HW588" s="91"/>
      <c r="HX588" s="91"/>
      <c r="HY588" s="91"/>
      <c r="HZ588" s="91"/>
      <c r="IA588" s="91"/>
      <c r="IB588" s="91"/>
      <c r="IC588" s="91"/>
      <c r="ID588" s="91"/>
      <c r="IE588" s="91"/>
    </row>
    <row r="589" spans="2:239" ht="15" x14ac:dyDescent="0.2">
      <c r="B589" s="91"/>
      <c r="C589" s="91"/>
      <c r="D589" s="91"/>
      <c r="E589" s="227"/>
      <c r="F589" s="91"/>
      <c r="G589" s="91"/>
      <c r="H589" s="91"/>
      <c r="I589" s="91"/>
      <c r="J589" s="91"/>
      <c r="K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c r="GU589" s="91"/>
      <c r="GV589" s="91"/>
      <c r="GW589" s="91"/>
      <c r="GX589" s="91"/>
      <c r="GY589" s="91"/>
      <c r="GZ589" s="91"/>
      <c r="HA589" s="91"/>
      <c r="HB589" s="91"/>
      <c r="HC589" s="91"/>
      <c r="HD589" s="91"/>
      <c r="HE589" s="91"/>
      <c r="HF589" s="91"/>
      <c r="HG589" s="91"/>
      <c r="HH589" s="91"/>
      <c r="HI589" s="91"/>
      <c r="HJ589" s="91"/>
      <c r="HK589" s="91"/>
      <c r="HL589" s="91"/>
      <c r="HM589" s="91"/>
      <c r="HN589" s="91"/>
      <c r="HO589" s="91"/>
      <c r="HP589" s="91"/>
      <c r="HQ589" s="91"/>
      <c r="HR589" s="91"/>
      <c r="HS589" s="91"/>
      <c r="HT589" s="91"/>
      <c r="HU589" s="91"/>
      <c r="HV589" s="91"/>
      <c r="HW589" s="91"/>
      <c r="HX589" s="91"/>
      <c r="HY589" s="91"/>
      <c r="HZ589" s="91"/>
      <c r="IA589" s="91"/>
      <c r="IB589" s="91"/>
      <c r="IC589" s="91"/>
      <c r="ID589" s="91"/>
      <c r="IE589" s="91"/>
    </row>
    <row r="590" spans="2:239" ht="15" x14ac:dyDescent="0.2">
      <c r="B590" s="91"/>
      <c r="C590" s="91"/>
      <c r="D590" s="91"/>
      <c r="E590" s="227"/>
      <c r="F590" s="91"/>
      <c r="G590" s="91"/>
      <c r="H590" s="91"/>
      <c r="I590" s="91"/>
      <c r="J590" s="91"/>
      <c r="K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c r="HV590" s="91"/>
      <c r="HW590" s="91"/>
      <c r="HX590" s="91"/>
      <c r="HY590" s="91"/>
      <c r="HZ590" s="91"/>
      <c r="IA590" s="91"/>
      <c r="IB590" s="91"/>
      <c r="IC590" s="91"/>
      <c r="ID590" s="91"/>
      <c r="IE590" s="91"/>
    </row>
    <row r="591" spans="2:239" ht="15" x14ac:dyDescent="0.2">
      <c r="B591" s="91"/>
      <c r="C591" s="91"/>
      <c r="D591" s="91"/>
      <c r="E591" s="227"/>
      <c r="F591" s="91"/>
      <c r="G591" s="91"/>
      <c r="H591" s="91"/>
      <c r="I591" s="91"/>
      <c r="J591" s="91"/>
      <c r="K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c r="GU591" s="91"/>
      <c r="GV591" s="91"/>
      <c r="GW591" s="91"/>
      <c r="GX591" s="91"/>
      <c r="GY591" s="91"/>
      <c r="GZ591" s="91"/>
      <c r="HA591" s="91"/>
      <c r="HB591" s="91"/>
      <c r="HC591" s="91"/>
      <c r="HD591" s="91"/>
      <c r="HE591" s="91"/>
      <c r="HF591" s="91"/>
      <c r="HG591" s="91"/>
      <c r="HH591" s="91"/>
      <c r="HI591" s="91"/>
      <c r="HJ591" s="91"/>
      <c r="HK591" s="91"/>
      <c r="HL591" s="91"/>
      <c r="HM591" s="91"/>
      <c r="HN591" s="91"/>
      <c r="HO591" s="91"/>
      <c r="HP591" s="91"/>
      <c r="HQ591" s="91"/>
      <c r="HR591" s="91"/>
      <c r="HS591" s="91"/>
      <c r="HT591" s="91"/>
      <c r="HU591" s="91"/>
      <c r="HV591" s="91"/>
      <c r="HW591" s="91"/>
      <c r="HX591" s="91"/>
      <c r="HY591" s="91"/>
      <c r="HZ591" s="91"/>
      <c r="IA591" s="91"/>
      <c r="IB591" s="91"/>
      <c r="IC591" s="91"/>
      <c r="ID591" s="91"/>
      <c r="IE591" s="91"/>
    </row>
    <row r="592" spans="2:239" ht="15" x14ac:dyDescent="0.2">
      <c r="B592" s="91"/>
      <c r="C592" s="91"/>
      <c r="D592" s="91"/>
      <c r="E592" s="227"/>
      <c r="F592" s="91"/>
      <c r="G592" s="91"/>
      <c r="H592" s="91"/>
      <c r="I592" s="91"/>
      <c r="J592" s="91"/>
      <c r="K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c r="HV592" s="91"/>
      <c r="HW592" s="91"/>
      <c r="HX592" s="91"/>
      <c r="HY592" s="91"/>
      <c r="HZ592" s="91"/>
      <c r="IA592" s="91"/>
      <c r="IB592" s="91"/>
      <c r="IC592" s="91"/>
      <c r="ID592" s="91"/>
      <c r="IE592" s="91"/>
    </row>
    <row r="593" spans="2:239" ht="15" x14ac:dyDescent="0.2">
      <c r="B593" s="91"/>
      <c r="C593" s="91"/>
      <c r="D593" s="91"/>
      <c r="E593" s="227"/>
      <c r="F593" s="91"/>
      <c r="G593" s="91"/>
      <c r="H593" s="91"/>
      <c r="I593" s="91"/>
      <c r="J593" s="91"/>
      <c r="K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c r="GU593" s="91"/>
      <c r="GV593" s="91"/>
      <c r="GW593" s="91"/>
      <c r="GX593" s="91"/>
      <c r="GY593" s="91"/>
      <c r="GZ593" s="91"/>
      <c r="HA593" s="91"/>
      <c r="HB593" s="91"/>
      <c r="HC593" s="91"/>
      <c r="HD593" s="91"/>
      <c r="HE593" s="91"/>
      <c r="HF593" s="91"/>
      <c r="HG593" s="91"/>
      <c r="HH593" s="91"/>
      <c r="HI593" s="91"/>
      <c r="HJ593" s="91"/>
      <c r="HK593" s="91"/>
      <c r="HL593" s="91"/>
      <c r="HM593" s="91"/>
      <c r="HN593" s="91"/>
      <c r="HO593" s="91"/>
      <c r="HP593" s="91"/>
      <c r="HQ593" s="91"/>
      <c r="HR593" s="91"/>
      <c r="HS593" s="91"/>
      <c r="HT593" s="91"/>
      <c r="HU593" s="91"/>
      <c r="HV593" s="91"/>
      <c r="HW593" s="91"/>
      <c r="HX593" s="91"/>
      <c r="HY593" s="91"/>
      <c r="HZ593" s="91"/>
      <c r="IA593" s="91"/>
      <c r="IB593" s="91"/>
      <c r="IC593" s="91"/>
      <c r="ID593" s="91"/>
      <c r="IE593" s="91"/>
    </row>
    <row r="594" spans="2:239" ht="15" x14ac:dyDescent="0.2">
      <c r="B594" s="91"/>
      <c r="C594" s="91"/>
      <c r="D594" s="91"/>
      <c r="E594" s="227"/>
      <c r="F594" s="91"/>
      <c r="G594" s="91"/>
      <c r="H594" s="91"/>
      <c r="I594" s="91"/>
      <c r="J594" s="91"/>
      <c r="K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c r="HV594" s="91"/>
      <c r="HW594" s="91"/>
      <c r="HX594" s="91"/>
      <c r="HY594" s="91"/>
      <c r="HZ594" s="91"/>
      <c r="IA594" s="91"/>
      <c r="IB594" s="91"/>
      <c r="IC594" s="91"/>
      <c r="ID594" s="91"/>
      <c r="IE594" s="91"/>
    </row>
    <row r="595" spans="2:239" ht="15" x14ac:dyDescent="0.2">
      <c r="B595" s="91"/>
      <c r="C595" s="91"/>
      <c r="D595" s="91"/>
      <c r="E595" s="227"/>
      <c r="F595" s="91"/>
      <c r="G595" s="91"/>
      <c r="H595" s="91"/>
      <c r="I595" s="91"/>
      <c r="J595" s="91"/>
      <c r="K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c r="GU595" s="91"/>
      <c r="GV595" s="91"/>
      <c r="GW595" s="91"/>
      <c r="GX595" s="91"/>
      <c r="GY595" s="91"/>
      <c r="GZ595" s="91"/>
      <c r="HA595" s="91"/>
      <c r="HB595" s="91"/>
      <c r="HC595" s="91"/>
      <c r="HD595" s="91"/>
      <c r="HE595" s="91"/>
      <c r="HF595" s="91"/>
      <c r="HG595" s="91"/>
      <c r="HH595" s="91"/>
      <c r="HI595" s="91"/>
      <c r="HJ595" s="91"/>
      <c r="HK595" s="91"/>
      <c r="HL595" s="91"/>
      <c r="HM595" s="91"/>
      <c r="HN595" s="91"/>
      <c r="HO595" s="91"/>
      <c r="HP595" s="91"/>
      <c r="HQ595" s="91"/>
      <c r="HR595" s="91"/>
      <c r="HS595" s="91"/>
      <c r="HT595" s="91"/>
      <c r="HU595" s="91"/>
      <c r="HV595" s="91"/>
      <c r="HW595" s="91"/>
      <c r="HX595" s="91"/>
      <c r="HY595" s="91"/>
      <c r="HZ595" s="91"/>
      <c r="IA595" s="91"/>
      <c r="IB595" s="91"/>
      <c r="IC595" s="91"/>
      <c r="ID595" s="91"/>
      <c r="IE595" s="91"/>
    </row>
    <row r="596" spans="2:239" ht="15" x14ac:dyDescent="0.2">
      <c r="B596" s="91"/>
      <c r="C596" s="91"/>
      <c r="D596" s="91"/>
      <c r="E596" s="227"/>
      <c r="F596" s="91"/>
      <c r="G596" s="91"/>
      <c r="H596" s="91"/>
      <c r="I596" s="91"/>
      <c r="J596" s="91"/>
      <c r="K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c r="GU596" s="91"/>
      <c r="GV596" s="91"/>
      <c r="GW596" s="91"/>
      <c r="GX596" s="91"/>
      <c r="GY596" s="91"/>
      <c r="GZ596" s="91"/>
      <c r="HA596" s="91"/>
      <c r="HB596" s="91"/>
      <c r="HC596" s="91"/>
      <c r="HD596" s="91"/>
      <c r="HE596" s="91"/>
      <c r="HF596" s="91"/>
      <c r="HG596" s="91"/>
      <c r="HH596" s="91"/>
      <c r="HI596" s="91"/>
      <c r="HJ596" s="91"/>
      <c r="HK596" s="91"/>
      <c r="HL596" s="91"/>
      <c r="HM596" s="91"/>
      <c r="HN596" s="91"/>
      <c r="HO596" s="91"/>
      <c r="HP596" s="91"/>
      <c r="HQ596" s="91"/>
      <c r="HR596" s="91"/>
      <c r="HS596" s="91"/>
      <c r="HT596" s="91"/>
      <c r="HU596" s="91"/>
      <c r="HV596" s="91"/>
      <c r="HW596" s="91"/>
      <c r="HX596" s="91"/>
      <c r="HY596" s="91"/>
      <c r="HZ596" s="91"/>
      <c r="IA596" s="91"/>
      <c r="IB596" s="91"/>
      <c r="IC596" s="91"/>
      <c r="ID596" s="91"/>
      <c r="IE596" s="91"/>
    </row>
    <row r="597" spans="2:239" ht="15" x14ac:dyDescent="0.2">
      <c r="B597" s="91"/>
      <c r="C597" s="91"/>
      <c r="D597" s="91"/>
      <c r="E597" s="227"/>
      <c r="F597" s="91"/>
      <c r="G597" s="91"/>
      <c r="H597" s="91"/>
      <c r="I597" s="91"/>
      <c r="J597" s="91"/>
      <c r="K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c r="GU597" s="91"/>
      <c r="GV597" s="91"/>
      <c r="GW597" s="91"/>
      <c r="GX597" s="91"/>
      <c r="GY597" s="91"/>
      <c r="GZ597" s="91"/>
      <c r="HA597" s="91"/>
      <c r="HB597" s="91"/>
      <c r="HC597" s="91"/>
      <c r="HD597" s="91"/>
      <c r="HE597" s="91"/>
      <c r="HF597" s="91"/>
      <c r="HG597" s="91"/>
      <c r="HH597" s="91"/>
      <c r="HI597" s="91"/>
      <c r="HJ597" s="91"/>
      <c r="HK597" s="91"/>
      <c r="HL597" s="91"/>
      <c r="HM597" s="91"/>
      <c r="HN597" s="91"/>
      <c r="HO597" s="91"/>
      <c r="HP597" s="91"/>
      <c r="HQ597" s="91"/>
      <c r="HR597" s="91"/>
      <c r="HS597" s="91"/>
      <c r="HT597" s="91"/>
      <c r="HU597" s="91"/>
      <c r="HV597" s="91"/>
      <c r="HW597" s="91"/>
      <c r="HX597" s="91"/>
      <c r="HY597" s="91"/>
      <c r="HZ597" s="91"/>
      <c r="IA597" s="91"/>
      <c r="IB597" s="91"/>
      <c r="IC597" s="91"/>
      <c r="ID597" s="91"/>
      <c r="IE597" s="91"/>
    </row>
    <row r="598" spans="2:239" ht="15" x14ac:dyDescent="0.2">
      <c r="B598" s="91"/>
      <c r="C598" s="91"/>
      <c r="D598" s="91"/>
      <c r="E598" s="227"/>
      <c r="F598" s="91"/>
      <c r="G598" s="91"/>
      <c r="H598" s="91"/>
      <c r="I598" s="91"/>
      <c r="J598" s="91"/>
      <c r="K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c r="GU598" s="91"/>
      <c r="GV598" s="91"/>
      <c r="GW598" s="91"/>
      <c r="GX598" s="91"/>
      <c r="GY598" s="91"/>
      <c r="GZ598" s="91"/>
      <c r="HA598" s="91"/>
      <c r="HB598" s="91"/>
      <c r="HC598" s="91"/>
      <c r="HD598" s="91"/>
      <c r="HE598" s="91"/>
      <c r="HF598" s="91"/>
      <c r="HG598" s="91"/>
      <c r="HH598" s="91"/>
      <c r="HI598" s="91"/>
      <c r="HJ598" s="91"/>
      <c r="HK598" s="91"/>
      <c r="HL598" s="91"/>
      <c r="HM598" s="91"/>
      <c r="HN598" s="91"/>
      <c r="HO598" s="91"/>
      <c r="HP598" s="91"/>
      <c r="HQ598" s="91"/>
      <c r="HR598" s="91"/>
      <c r="HS598" s="91"/>
      <c r="HT598" s="91"/>
      <c r="HU598" s="91"/>
      <c r="HV598" s="91"/>
      <c r="HW598" s="91"/>
      <c r="HX598" s="91"/>
      <c r="HY598" s="91"/>
      <c r="HZ598" s="91"/>
      <c r="IA598" s="91"/>
      <c r="IB598" s="91"/>
      <c r="IC598" s="91"/>
      <c r="ID598" s="91"/>
      <c r="IE598" s="91"/>
    </row>
    <row r="599" spans="2:239" ht="15" x14ac:dyDescent="0.2">
      <c r="B599" s="91"/>
      <c r="C599" s="91"/>
      <c r="D599" s="91"/>
      <c r="E599" s="227"/>
      <c r="F599" s="91"/>
      <c r="G599" s="91"/>
      <c r="H599" s="91"/>
      <c r="I599" s="91"/>
      <c r="J599" s="91"/>
      <c r="K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c r="HV599" s="91"/>
      <c r="HW599" s="91"/>
      <c r="HX599" s="91"/>
      <c r="HY599" s="91"/>
      <c r="HZ599" s="91"/>
      <c r="IA599" s="91"/>
      <c r="IB599" s="91"/>
      <c r="IC599" s="91"/>
      <c r="ID599" s="91"/>
      <c r="IE599" s="91"/>
    </row>
    <row r="600" spans="2:239" ht="15" x14ac:dyDescent="0.2">
      <c r="B600" s="91"/>
      <c r="C600" s="91"/>
      <c r="D600" s="91"/>
      <c r="E600" s="227"/>
      <c r="F600" s="91"/>
      <c r="G600" s="91"/>
      <c r="H600" s="91"/>
      <c r="I600" s="91"/>
      <c r="J600" s="91"/>
      <c r="K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c r="GU600" s="91"/>
      <c r="GV600" s="91"/>
      <c r="GW600" s="91"/>
      <c r="GX600" s="91"/>
      <c r="GY600" s="91"/>
      <c r="GZ600" s="91"/>
      <c r="HA600" s="91"/>
      <c r="HB600" s="91"/>
      <c r="HC600" s="91"/>
      <c r="HD600" s="91"/>
      <c r="HE600" s="91"/>
      <c r="HF600" s="91"/>
      <c r="HG600" s="91"/>
      <c r="HH600" s="91"/>
      <c r="HI600" s="91"/>
      <c r="HJ600" s="91"/>
      <c r="HK600" s="91"/>
      <c r="HL600" s="91"/>
      <c r="HM600" s="91"/>
      <c r="HN600" s="91"/>
      <c r="HO600" s="91"/>
      <c r="HP600" s="91"/>
      <c r="HQ600" s="91"/>
      <c r="HR600" s="91"/>
      <c r="HS600" s="91"/>
      <c r="HT600" s="91"/>
      <c r="HU600" s="91"/>
      <c r="HV600" s="91"/>
      <c r="HW600" s="91"/>
      <c r="HX600" s="91"/>
      <c r="HY600" s="91"/>
      <c r="HZ600" s="91"/>
      <c r="IA600" s="91"/>
      <c r="IB600" s="91"/>
      <c r="IC600" s="91"/>
      <c r="ID600" s="91"/>
      <c r="IE600" s="91"/>
    </row>
    <row r="601" spans="2:239" ht="15" x14ac:dyDescent="0.2">
      <c r="B601" s="91"/>
      <c r="C601" s="91"/>
      <c r="D601" s="91"/>
      <c r="E601" s="227"/>
      <c r="F601" s="91"/>
      <c r="G601" s="91"/>
      <c r="H601" s="91"/>
      <c r="I601" s="91"/>
      <c r="J601" s="91"/>
      <c r="K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c r="GU601" s="91"/>
      <c r="GV601" s="91"/>
      <c r="GW601" s="91"/>
      <c r="GX601" s="91"/>
      <c r="GY601" s="91"/>
      <c r="GZ601" s="91"/>
      <c r="HA601" s="91"/>
      <c r="HB601" s="91"/>
      <c r="HC601" s="91"/>
      <c r="HD601" s="91"/>
      <c r="HE601" s="91"/>
      <c r="HF601" s="91"/>
      <c r="HG601" s="91"/>
      <c r="HH601" s="91"/>
      <c r="HI601" s="91"/>
      <c r="HJ601" s="91"/>
      <c r="HK601" s="91"/>
      <c r="HL601" s="91"/>
      <c r="HM601" s="91"/>
      <c r="HN601" s="91"/>
      <c r="HO601" s="91"/>
      <c r="HP601" s="91"/>
      <c r="HQ601" s="91"/>
      <c r="HR601" s="91"/>
      <c r="HS601" s="91"/>
      <c r="HT601" s="91"/>
      <c r="HU601" s="91"/>
      <c r="HV601" s="91"/>
      <c r="HW601" s="91"/>
      <c r="HX601" s="91"/>
      <c r="HY601" s="91"/>
      <c r="HZ601" s="91"/>
      <c r="IA601" s="91"/>
      <c r="IB601" s="91"/>
      <c r="IC601" s="91"/>
      <c r="ID601" s="91"/>
      <c r="IE601" s="91"/>
    </row>
    <row r="602" spans="2:239" ht="15" x14ac:dyDescent="0.2">
      <c r="B602" s="91"/>
      <c r="C602" s="91"/>
      <c r="D602" s="91"/>
      <c r="E602" s="227"/>
      <c r="F602" s="91"/>
      <c r="G602" s="91"/>
      <c r="H602" s="91"/>
      <c r="I602" s="91"/>
      <c r="J602" s="91"/>
      <c r="K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c r="HV602" s="91"/>
      <c r="HW602" s="91"/>
      <c r="HX602" s="91"/>
      <c r="HY602" s="91"/>
      <c r="HZ602" s="91"/>
      <c r="IA602" s="91"/>
      <c r="IB602" s="91"/>
      <c r="IC602" s="91"/>
      <c r="ID602" s="91"/>
      <c r="IE602" s="91"/>
    </row>
    <row r="603" spans="2:239" ht="15" x14ac:dyDescent="0.2">
      <c r="B603" s="91"/>
      <c r="C603" s="91"/>
      <c r="D603" s="91"/>
      <c r="E603" s="227"/>
      <c r="F603" s="91"/>
      <c r="G603" s="91"/>
      <c r="H603" s="91"/>
      <c r="I603" s="91"/>
      <c r="J603" s="91"/>
      <c r="K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c r="GU603" s="91"/>
      <c r="GV603" s="91"/>
      <c r="GW603" s="91"/>
      <c r="GX603" s="91"/>
      <c r="GY603" s="91"/>
      <c r="GZ603" s="91"/>
      <c r="HA603" s="91"/>
      <c r="HB603" s="91"/>
      <c r="HC603" s="91"/>
      <c r="HD603" s="91"/>
      <c r="HE603" s="91"/>
      <c r="HF603" s="91"/>
      <c r="HG603" s="91"/>
      <c r="HH603" s="91"/>
      <c r="HI603" s="91"/>
      <c r="HJ603" s="91"/>
      <c r="HK603" s="91"/>
      <c r="HL603" s="91"/>
      <c r="HM603" s="91"/>
      <c r="HN603" s="91"/>
      <c r="HO603" s="91"/>
      <c r="HP603" s="91"/>
      <c r="HQ603" s="91"/>
      <c r="HR603" s="91"/>
      <c r="HS603" s="91"/>
      <c r="HT603" s="91"/>
      <c r="HU603" s="91"/>
      <c r="HV603" s="91"/>
      <c r="HW603" s="91"/>
      <c r="HX603" s="91"/>
      <c r="HY603" s="91"/>
      <c r="HZ603" s="91"/>
      <c r="IA603" s="91"/>
      <c r="IB603" s="91"/>
      <c r="IC603" s="91"/>
      <c r="ID603" s="91"/>
      <c r="IE603" s="91"/>
    </row>
    <row r="604" spans="2:239" ht="15" x14ac:dyDescent="0.2">
      <c r="B604" s="91"/>
      <c r="C604" s="91"/>
      <c r="D604" s="91"/>
      <c r="E604" s="227"/>
      <c r="F604" s="91"/>
      <c r="G604" s="91"/>
      <c r="H604" s="91"/>
      <c r="I604" s="91"/>
      <c r="J604" s="91"/>
      <c r="K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c r="GU604" s="91"/>
      <c r="GV604" s="91"/>
      <c r="GW604" s="91"/>
      <c r="GX604" s="91"/>
      <c r="GY604" s="91"/>
      <c r="GZ604" s="91"/>
      <c r="HA604" s="91"/>
      <c r="HB604" s="91"/>
      <c r="HC604" s="91"/>
      <c r="HD604" s="91"/>
      <c r="HE604" s="91"/>
      <c r="HF604" s="91"/>
      <c r="HG604" s="91"/>
      <c r="HH604" s="91"/>
      <c r="HI604" s="91"/>
      <c r="HJ604" s="91"/>
      <c r="HK604" s="91"/>
      <c r="HL604" s="91"/>
      <c r="HM604" s="91"/>
      <c r="HN604" s="91"/>
      <c r="HO604" s="91"/>
      <c r="HP604" s="91"/>
      <c r="HQ604" s="91"/>
      <c r="HR604" s="91"/>
      <c r="HS604" s="91"/>
      <c r="HT604" s="91"/>
      <c r="HU604" s="91"/>
      <c r="HV604" s="91"/>
      <c r="HW604" s="91"/>
      <c r="HX604" s="91"/>
      <c r="HY604" s="91"/>
      <c r="HZ604" s="91"/>
      <c r="IA604" s="91"/>
      <c r="IB604" s="91"/>
      <c r="IC604" s="91"/>
      <c r="ID604" s="91"/>
      <c r="IE604" s="91"/>
    </row>
    <row r="605" spans="2:239" ht="15" x14ac:dyDescent="0.2">
      <c r="B605" s="91"/>
      <c r="C605" s="91"/>
      <c r="D605" s="91"/>
      <c r="E605" s="227"/>
      <c r="F605" s="91"/>
      <c r="G605" s="91"/>
      <c r="H605" s="91"/>
      <c r="I605" s="91"/>
      <c r="J605" s="91"/>
      <c r="K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c r="GU605" s="91"/>
      <c r="GV605" s="91"/>
      <c r="GW605" s="91"/>
      <c r="GX605" s="91"/>
      <c r="GY605" s="91"/>
      <c r="GZ605" s="91"/>
      <c r="HA605" s="91"/>
      <c r="HB605" s="91"/>
      <c r="HC605" s="91"/>
      <c r="HD605" s="91"/>
      <c r="HE605" s="91"/>
      <c r="HF605" s="91"/>
      <c r="HG605" s="91"/>
      <c r="HH605" s="91"/>
      <c r="HI605" s="91"/>
      <c r="HJ605" s="91"/>
      <c r="HK605" s="91"/>
      <c r="HL605" s="91"/>
      <c r="HM605" s="91"/>
      <c r="HN605" s="91"/>
      <c r="HO605" s="91"/>
      <c r="HP605" s="91"/>
      <c r="HQ605" s="91"/>
      <c r="HR605" s="91"/>
      <c r="HS605" s="91"/>
      <c r="HT605" s="91"/>
      <c r="HU605" s="91"/>
      <c r="HV605" s="91"/>
      <c r="HW605" s="91"/>
      <c r="HX605" s="91"/>
      <c r="HY605" s="91"/>
      <c r="HZ605" s="91"/>
      <c r="IA605" s="91"/>
      <c r="IB605" s="91"/>
      <c r="IC605" s="91"/>
      <c r="ID605" s="91"/>
      <c r="IE605" s="91"/>
    </row>
    <row r="606" spans="2:239" ht="15" x14ac:dyDescent="0.2">
      <c r="B606" s="91"/>
      <c r="C606" s="91"/>
      <c r="D606" s="91"/>
      <c r="E606" s="227"/>
      <c r="F606" s="91"/>
      <c r="G606" s="91"/>
      <c r="H606" s="91"/>
      <c r="I606" s="91"/>
      <c r="J606" s="91"/>
      <c r="K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c r="GU606" s="91"/>
      <c r="GV606" s="91"/>
      <c r="GW606" s="91"/>
      <c r="GX606" s="91"/>
      <c r="GY606" s="91"/>
      <c r="GZ606" s="91"/>
      <c r="HA606" s="91"/>
      <c r="HB606" s="91"/>
      <c r="HC606" s="91"/>
      <c r="HD606" s="91"/>
      <c r="HE606" s="91"/>
      <c r="HF606" s="91"/>
      <c r="HG606" s="91"/>
      <c r="HH606" s="91"/>
      <c r="HI606" s="91"/>
      <c r="HJ606" s="91"/>
      <c r="HK606" s="91"/>
      <c r="HL606" s="91"/>
      <c r="HM606" s="91"/>
      <c r="HN606" s="91"/>
      <c r="HO606" s="91"/>
      <c r="HP606" s="91"/>
      <c r="HQ606" s="91"/>
      <c r="HR606" s="91"/>
      <c r="HS606" s="91"/>
      <c r="HT606" s="91"/>
      <c r="HU606" s="91"/>
      <c r="HV606" s="91"/>
      <c r="HW606" s="91"/>
      <c r="HX606" s="91"/>
      <c r="HY606" s="91"/>
      <c r="HZ606" s="91"/>
      <c r="IA606" s="91"/>
      <c r="IB606" s="91"/>
      <c r="IC606" s="91"/>
      <c r="ID606" s="91"/>
      <c r="IE606" s="91"/>
    </row>
    <row r="607" spans="2:239" ht="15" x14ac:dyDescent="0.2">
      <c r="B607" s="91"/>
      <c r="C607" s="91"/>
      <c r="D607" s="91"/>
      <c r="E607" s="227"/>
      <c r="F607" s="91"/>
      <c r="G607" s="91"/>
      <c r="H607" s="91"/>
      <c r="I607" s="91"/>
      <c r="J607" s="91"/>
      <c r="K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c r="GU607" s="91"/>
      <c r="GV607" s="91"/>
      <c r="GW607" s="91"/>
      <c r="GX607" s="91"/>
      <c r="GY607" s="91"/>
      <c r="GZ607" s="91"/>
      <c r="HA607" s="91"/>
      <c r="HB607" s="91"/>
      <c r="HC607" s="91"/>
      <c r="HD607" s="91"/>
      <c r="HE607" s="91"/>
      <c r="HF607" s="91"/>
      <c r="HG607" s="91"/>
      <c r="HH607" s="91"/>
      <c r="HI607" s="91"/>
      <c r="HJ607" s="91"/>
      <c r="HK607" s="91"/>
      <c r="HL607" s="91"/>
      <c r="HM607" s="91"/>
      <c r="HN607" s="91"/>
      <c r="HO607" s="91"/>
      <c r="HP607" s="91"/>
      <c r="HQ607" s="91"/>
      <c r="HR607" s="91"/>
      <c r="HS607" s="91"/>
      <c r="HT607" s="91"/>
      <c r="HU607" s="91"/>
      <c r="HV607" s="91"/>
      <c r="HW607" s="91"/>
      <c r="HX607" s="91"/>
      <c r="HY607" s="91"/>
      <c r="HZ607" s="91"/>
      <c r="IA607" s="91"/>
      <c r="IB607" s="91"/>
      <c r="IC607" s="91"/>
      <c r="ID607" s="91"/>
      <c r="IE607" s="91"/>
    </row>
    <row r="608" spans="2:239" ht="15" x14ac:dyDescent="0.2">
      <c r="B608" s="91"/>
      <c r="C608" s="91"/>
      <c r="D608" s="91"/>
      <c r="E608" s="227"/>
      <c r="F608" s="91"/>
      <c r="G608" s="91"/>
      <c r="H608" s="91"/>
      <c r="I608" s="91"/>
      <c r="J608" s="91"/>
      <c r="K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c r="GU608" s="91"/>
      <c r="GV608" s="91"/>
      <c r="GW608" s="91"/>
      <c r="GX608" s="91"/>
      <c r="GY608" s="91"/>
      <c r="GZ608" s="91"/>
      <c r="HA608" s="91"/>
      <c r="HB608" s="91"/>
      <c r="HC608" s="91"/>
      <c r="HD608" s="91"/>
      <c r="HE608" s="91"/>
      <c r="HF608" s="91"/>
      <c r="HG608" s="91"/>
      <c r="HH608" s="91"/>
      <c r="HI608" s="91"/>
      <c r="HJ608" s="91"/>
      <c r="HK608" s="91"/>
      <c r="HL608" s="91"/>
      <c r="HM608" s="91"/>
      <c r="HN608" s="91"/>
      <c r="HO608" s="91"/>
      <c r="HP608" s="91"/>
      <c r="HQ608" s="91"/>
      <c r="HR608" s="91"/>
      <c r="HS608" s="91"/>
      <c r="HT608" s="91"/>
      <c r="HU608" s="91"/>
      <c r="HV608" s="91"/>
      <c r="HW608" s="91"/>
      <c r="HX608" s="91"/>
      <c r="HY608" s="91"/>
      <c r="HZ608" s="91"/>
      <c r="IA608" s="91"/>
      <c r="IB608" s="91"/>
      <c r="IC608" s="91"/>
      <c r="ID608" s="91"/>
      <c r="IE608" s="91"/>
    </row>
    <row r="609" spans="2:239" ht="15" x14ac:dyDescent="0.2">
      <c r="B609" s="91"/>
      <c r="C609" s="91"/>
      <c r="D609" s="91"/>
      <c r="E609" s="227"/>
      <c r="F609" s="91"/>
      <c r="G609" s="91"/>
      <c r="H609" s="91"/>
      <c r="I609" s="91"/>
      <c r="J609" s="91"/>
      <c r="K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c r="GU609" s="91"/>
      <c r="GV609" s="91"/>
      <c r="GW609" s="91"/>
      <c r="GX609" s="91"/>
      <c r="GY609" s="91"/>
      <c r="GZ609" s="91"/>
      <c r="HA609" s="91"/>
      <c r="HB609" s="91"/>
      <c r="HC609" s="91"/>
      <c r="HD609" s="91"/>
      <c r="HE609" s="91"/>
      <c r="HF609" s="91"/>
      <c r="HG609" s="91"/>
      <c r="HH609" s="91"/>
      <c r="HI609" s="91"/>
      <c r="HJ609" s="91"/>
      <c r="HK609" s="91"/>
      <c r="HL609" s="91"/>
      <c r="HM609" s="91"/>
      <c r="HN609" s="91"/>
      <c r="HO609" s="91"/>
      <c r="HP609" s="91"/>
      <c r="HQ609" s="91"/>
      <c r="HR609" s="91"/>
      <c r="HS609" s="91"/>
      <c r="HT609" s="91"/>
      <c r="HU609" s="91"/>
      <c r="HV609" s="91"/>
      <c r="HW609" s="91"/>
      <c r="HX609" s="91"/>
      <c r="HY609" s="91"/>
      <c r="HZ609" s="91"/>
      <c r="IA609" s="91"/>
      <c r="IB609" s="91"/>
      <c r="IC609" s="91"/>
      <c r="ID609" s="91"/>
      <c r="IE609" s="91"/>
    </row>
    <row r="610" spans="2:239" ht="15" x14ac:dyDescent="0.2">
      <c r="B610" s="91"/>
      <c r="C610" s="91"/>
      <c r="D610" s="91"/>
      <c r="E610" s="227"/>
      <c r="F610" s="91"/>
      <c r="G610" s="91"/>
      <c r="H610" s="91"/>
      <c r="I610" s="91"/>
      <c r="J610" s="91"/>
      <c r="K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c r="GU610" s="91"/>
      <c r="GV610" s="91"/>
      <c r="GW610" s="91"/>
      <c r="GX610" s="91"/>
      <c r="GY610" s="91"/>
      <c r="GZ610" s="91"/>
      <c r="HA610" s="91"/>
      <c r="HB610" s="91"/>
      <c r="HC610" s="91"/>
      <c r="HD610" s="91"/>
      <c r="HE610" s="91"/>
      <c r="HF610" s="91"/>
      <c r="HG610" s="91"/>
      <c r="HH610" s="91"/>
      <c r="HI610" s="91"/>
      <c r="HJ610" s="91"/>
      <c r="HK610" s="91"/>
      <c r="HL610" s="91"/>
      <c r="HM610" s="91"/>
      <c r="HN610" s="91"/>
      <c r="HO610" s="91"/>
      <c r="HP610" s="91"/>
      <c r="HQ610" s="91"/>
      <c r="HR610" s="91"/>
      <c r="HS610" s="91"/>
      <c r="HT610" s="91"/>
      <c r="HU610" s="91"/>
      <c r="HV610" s="91"/>
      <c r="HW610" s="91"/>
      <c r="HX610" s="91"/>
      <c r="HY610" s="91"/>
      <c r="HZ610" s="91"/>
      <c r="IA610" s="91"/>
      <c r="IB610" s="91"/>
      <c r="IC610" s="91"/>
      <c r="ID610" s="91"/>
      <c r="IE610" s="91"/>
    </row>
    <row r="611" spans="2:239" ht="15" x14ac:dyDescent="0.2">
      <c r="B611" s="91"/>
      <c r="C611" s="91"/>
      <c r="D611" s="91"/>
      <c r="E611" s="227"/>
      <c r="F611" s="91"/>
      <c r="G611" s="91"/>
      <c r="H611" s="91"/>
      <c r="I611" s="91"/>
      <c r="J611" s="91"/>
      <c r="K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c r="GU611" s="91"/>
      <c r="GV611" s="91"/>
      <c r="GW611" s="91"/>
      <c r="GX611" s="91"/>
      <c r="GY611" s="91"/>
      <c r="GZ611" s="91"/>
      <c r="HA611" s="91"/>
      <c r="HB611" s="91"/>
      <c r="HC611" s="91"/>
      <c r="HD611" s="91"/>
      <c r="HE611" s="91"/>
      <c r="HF611" s="91"/>
      <c r="HG611" s="91"/>
      <c r="HH611" s="91"/>
      <c r="HI611" s="91"/>
      <c r="HJ611" s="91"/>
      <c r="HK611" s="91"/>
      <c r="HL611" s="91"/>
      <c r="HM611" s="91"/>
      <c r="HN611" s="91"/>
      <c r="HO611" s="91"/>
      <c r="HP611" s="91"/>
      <c r="HQ611" s="91"/>
      <c r="HR611" s="91"/>
      <c r="HS611" s="91"/>
      <c r="HT611" s="91"/>
      <c r="HU611" s="91"/>
      <c r="HV611" s="91"/>
      <c r="HW611" s="91"/>
      <c r="HX611" s="91"/>
      <c r="HY611" s="91"/>
      <c r="HZ611" s="91"/>
      <c r="IA611" s="91"/>
      <c r="IB611" s="91"/>
      <c r="IC611" s="91"/>
      <c r="ID611" s="91"/>
      <c r="IE611" s="91"/>
    </row>
    <row r="612" spans="2:239" ht="15" x14ac:dyDescent="0.2">
      <c r="B612" s="91"/>
      <c r="C612" s="91"/>
      <c r="D612" s="91"/>
      <c r="E612" s="227"/>
      <c r="F612" s="91"/>
      <c r="G612" s="91"/>
      <c r="H612" s="91"/>
      <c r="I612" s="91"/>
      <c r="J612" s="91"/>
      <c r="K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c r="GU612" s="91"/>
      <c r="GV612" s="91"/>
      <c r="GW612" s="91"/>
      <c r="GX612" s="91"/>
      <c r="GY612" s="91"/>
      <c r="GZ612" s="91"/>
      <c r="HA612" s="91"/>
      <c r="HB612" s="91"/>
      <c r="HC612" s="91"/>
      <c r="HD612" s="91"/>
      <c r="HE612" s="91"/>
      <c r="HF612" s="91"/>
      <c r="HG612" s="91"/>
      <c r="HH612" s="91"/>
      <c r="HI612" s="91"/>
      <c r="HJ612" s="91"/>
      <c r="HK612" s="91"/>
      <c r="HL612" s="91"/>
      <c r="HM612" s="91"/>
      <c r="HN612" s="91"/>
      <c r="HO612" s="91"/>
      <c r="HP612" s="91"/>
      <c r="HQ612" s="91"/>
      <c r="HR612" s="91"/>
      <c r="HS612" s="91"/>
      <c r="HT612" s="91"/>
      <c r="HU612" s="91"/>
      <c r="HV612" s="91"/>
      <c r="HW612" s="91"/>
      <c r="HX612" s="91"/>
      <c r="HY612" s="91"/>
      <c r="HZ612" s="91"/>
      <c r="IA612" s="91"/>
      <c r="IB612" s="91"/>
      <c r="IC612" s="91"/>
      <c r="ID612" s="91"/>
      <c r="IE612" s="91"/>
    </row>
    <row r="613" spans="2:239" ht="15" x14ac:dyDescent="0.2">
      <c r="B613" s="91"/>
      <c r="C613" s="91"/>
      <c r="D613" s="91"/>
      <c r="E613" s="227"/>
      <c r="F613" s="91"/>
      <c r="G613" s="91"/>
      <c r="H613" s="91"/>
      <c r="I613" s="91"/>
      <c r="J613" s="91"/>
      <c r="K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c r="GU613" s="91"/>
      <c r="GV613" s="91"/>
      <c r="GW613" s="91"/>
      <c r="GX613" s="91"/>
      <c r="GY613" s="91"/>
      <c r="GZ613" s="91"/>
      <c r="HA613" s="91"/>
      <c r="HB613" s="91"/>
      <c r="HC613" s="91"/>
      <c r="HD613" s="91"/>
      <c r="HE613" s="91"/>
      <c r="HF613" s="91"/>
      <c r="HG613" s="91"/>
      <c r="HH613" s="91"/>
      <c r="HI613" s="91"/>
      <c r="HJ613" s="91"/>
      <c r="HK613" s="91"/>
      <c r="HL613" s="91"/>
      <c r="HM613" s="91"/>
      <c r="HN613" s="91"/>
      <c r="HO613" s="91"/>
      <c r="HP613" s="91"/>
      <c r="HQ613" s="91"/>
      <c r="HR613" s="91"/>
      <c r="HS613" s="91"/>
      <c r="HT613" s="91"/>
      <c r="HU613" s="91"/>
      <c r="HV613" s="91"/>
      <c r="HW613" s="91"/>
      <c r="HX613" s="91"/>
      <c r="HY613" s="91"/>
      <c r="HZ613" s="91"/>
      <c r="IA613" s="91"/>
      <c r="IB613" s="91"/>
      <c r="IC613" s="91"/>
      <c r="ID613" s="91"/>
      <c r="IE613" s="91"/>
    </row>
    <row r="614" spans="2:239" ht="15" x14ac:dyDescent="0.2">
      <c r="B614" s="91"/>
      <c r="C614" s="91"/>
      <c r="D614" s="91"/>
      <c r="E614" s="227"/>
      <c r="F614" s="91"/>
      <c r="G614" s="91"/>
      <c r="H614" s="91"/>
      <c r="I614" s="91"/>
      <c r="J614" s="91"/>
      <c r="K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c r="HV614" s="91"/>
      <c r="HW614" s="91"/>
      <c r="HX614" s="91"/>
      <c r="HY614" s="91"/>
      <c r="HZ614" s="91"/>
      <c r="IA614" s="91"/>
      <c r="IB614" s="91"/>
      <c r="IC614" s="91"/>
      <c r="ID614" s="91"/>
      <c r="IE614" s="91"/>
    </row>
    <row r="615" spans="2:239" ht="15" x14ac:dyDescent="0.2">
      <c r="B615" s="91"/>
      <c r="C615" s="91"/>
      <c r="D615" s="91"/>
      <c r="E615" s="227"/>
      <c r="F615" s="91"/>
      <c r="G615" s="91"/>
      <c r="H615" s="91"/>
      <c r="I615" s="91"/>
      <c r="J615" s="91"/>
      <c r="K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c r="HV615" s="91"/>
      <c r="HW615" s="91"/>
      <c r="HX615" s="91"/>
      <c r="HY615" s="91"/>
      <c r="HZ615" s="91"/>
      <c r="IA615" s="91"/>
      <c r="IB615" s="91"/>
      <c r="IC615" s="91"/>
      <c r="ID615" s="91"/>
      <c r="IE615" s="91"/>
    </row>
    <row r="616" spans="2:239" ht="15" x14ac:dyDescent="0.2">
      <c r="B616" s="91"/>
      <c r="C616" s="91"/>
      <c r="D616" s="91"/>
      <c r="E616" s="227"/>
      <c r="F616" s="91"/>
      <c r="G616" s="91"/>
      <c r="H616" s="91"/>
      <c r="I616" s="91"/>
      <c r="J616" s="91"/>
      <c r="K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c r="GU616" s="91"/>
      <c r="GV616" s="91"/>
      <c r="GW616" s="91"/>
      <c r="GX616" s="91"/>
      <c r="GY616" s="91"/>
      <c r="GZ616" s="91"/>
      <c r="HA616" s="91"/>
      <c r="HB616" s="91"/>
      <c r="HC616" s="91"/>
      <c r="HD616" s="91"/>
      <c r="HE616" s="91"/>
      <c r="HF616" s="91"/>
      <c r="HG616" s="91"/>
      <c r="HH616" s="91"/>
      <c r="HI616" s="91"/>
      <c r="HJ616" s="91"/>
      <c r="HK616" s="91"/>
      <c r="HL616" s="91"/>
      <c r="HM616" s="91"/>
      <c r="HN616" s="91"/>
      <c r="HO616" s="91"/>
      <c r="HP616" s="91"/>
      <c r="HQ616" s="91"/>
      <c r="HR616" s="91"/>
      <c r="HS616" s="91"/>
      <c r="HT616" s="91"/>
      <c r="HU616" s="91"/>
      <c r="HV616" s="91"/>
      <c r="HW616" s="91"/>
      <c r="HX616" s="91"/>
      <c r="HY616" s="91"/>
      <c r="HZ616" s="91"/>
      <c r="IA616" s="91"/>
      <c r="IB616" s="91"/>
      <c r="IC616" s="91"/>
      <c r="ID616" s="91"/>
      <c r="IE616" s="91"/>
    </row>
    <row r="617" spans="2:239" ht="15" x14ac:dyDescent="0.2">
      <c r="B617" s="91"/>
      <c r="C617" s="91"/>
      <c r="D617" s="91"/>
      <c r="E617" s="227"/>
      <c r="F617" s="91"/>
      <c r="G617" s="91"/>
      <c r="H617" s="91"/>
      <c r="I617" s="91"/>
      <c r="J617" s="91"/>
      <c r="K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c r="HV617" s="91"/>
      <c r="HW617" s="91"/>
      <c r="HX617" s="91"/>
      <c r="HY617" s="91"/>
      <c r="HZ617" s="91"/>
      <c r="IA617" s="91"/>
      <c r="IB617" s="91"/>
      <c r="IC617" s="91"/>
      <c r="ID617" s="91"/>
      <c r="IE617" s="91"/>
    </row>
    <row r="618" spans="2:239" ht="15" x14ac:dyDescent="0.2">
      <c r="B618" s="91"/>
      <c r="C618" s="91"/>
      <c r="D618" s="91"/>
      <c r="E618" s="227"/>
      <c r="F618" s="91"/>
      <c r="G618" s="91"/>
      <c r="H618" s="91"/>
      <c r="I618" s="91"/>
      <c r="J618" s="91"/>
      <c r="K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c r="HV618" s="91"/>
      <c r="HW618" s="91"/>
      <c r="HX618" s="91"/>
      <c r="HY618" s="91"/>
      <c r="HZ618" s="91"/>
      <c r="IA618" s="91"/>
      <c r="IB618" s="91"/>
      <c r="IC618" s="91"/>
      <c r="ID618" s="91"/>
      <c r="IE618" s="91"/>
    </row>
    <row r="619" spans="2:239" ht="15" x14ac:dyDescent="0.2">
      <c r="B619" s="91"/>
      <c r="C619" s="91"/>
      <c r="D619" s="91"/>
      <c r="E619" s="227"/>
      <c r="F619" s="91"/>
      <c r="G619" s="91"/>
      <c r="H619" s="91"/>
      <c r="I619" s="91"/>
      <c r="J619" s="91"/>
      <c r="K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c r="GU619" s="91"/>
      <c r="GV619" s="91"/>
      <c r="GW619" s="91"/>
      <c r="GX619" s="91"/>
      <c r="GY619" s="91"/>
      <c r="GZ619" s="91"/>
      <c r="HA619" s="91"/>
      <c r="HB619" s="91"/>
      <c r="HC619" s="91"/>
      <c r="HD619" s="91"/>
      <c r="HE619" s="91"/>
      <c r="HF619" s="91"/>
      <c r="HG619" s="91"/>
      <c r="HH619" s="91"/>
      <c r="HI619" s="91"/>
      <c r="HJ619" s="91"/>
      <c r="HK619" s="91"/>
      <c r="HL619" s="91"/>
      <c r="HM619" s="91"/>
      <c r="HN619" s="91"/>
      <c r="HO619" s="91"/>
      <c r="HP619" s="91"/>
      <c r="HQ619" s="91"/>
      <c r="HR619" s="91"/>
      <c r="HS619" s="91"/>
      <c r="HT619" s="91"/>
      <c r="HU619" s="91"/>
      <c r="HV619" s="91"/>
      <c r="HW619" s="91"/>
      <c r="HX619" s="91"/>
      <c r="HY619" s="91"/>
      <c r="HZ619" s="91"/>
      <c r="IA619" s="91"/>
      <c r="IB619" s="91"/>
      <c r="IC619" s="91"/>
      <c r="ID619" s="91"/>
      <c r="IE619" s="91"/>
    </row>
    <row r="620" spans="2:239" ht="15" x14ac:dyDescent="0.2">
      <c r="B620" s="91"/>
      <c r="C620" s="91"/>
      <c r="D620" s="91"/>
      <c r="E620" s="227"/>
      <c r="F620" s="91"/>
      <c r="G620" s="91"/>
      <c r="H620" s="91"/>
      <c r="I620" s="91"/>
      <c r="J620" s="91"/>
      <c r="K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c r="GU620" s="91"/>
      <c r="GV620" s="91"/>
      <c r="GW620" s="91"/>
      <c r="GX620" s="91"/>
      <c r="GY620" s="91"/>
      <c r="GZ620" s="91"/>
      <c r="HA620" s="91"/>
      <c r="HB620" s="91"/>
      <c r="HC620" s="91"/>
      <c r="HD620" s="91"/>
      <c r="HE620" s="91"/>
      <c r="HF620" s="91"/>
      <c r="HG620" s="91"/>
      <c r="HH620" s="91"/>
      <c r="HI620" s="91"/>
      <c r="HJ620" s="91"/>
      <c r="HK620" s="91"/>
      <c r="HL620" s="91"/>
      <c r="HM620" s="91"/>
      <c r="HN620" s="91"/>
      <c r="HO620" s="91"/>
      <c r="HP620" s="91"/>
      <c r="HQ620" s="91"/>
      <c r="HR620" s="91"/>
      <c r="HS620" s="91"/>
      <c r="HT620" s="91"/>
      <c r="HU620" s="91"/>
      <c r="HV620" s="91"/>
      <c r="HW620" s="91"/>
      <c r="HX620" s="91"/>
      <c r="HY620" s="91"/>
      <c r="HZ620" s="91"/>
      <c r="IA620" s="91"/>
      <c r="IB620" s="91"/>
      <c r="IC620" s="91"/>
      <c r="ID620" s="91"/>
      <c r="IE620" s="91"/>
    </row>
    <row r="621" spans="2:239" ht="15" x14ac:dyDescent="0.2">
      <c r="B621" s="91"/>
      <c r="C621" s="91"/>
      <c r="D621" s="91"/>
      <c r="E621" s="227"/>
      <c r="F621" s="91"/>
      <c r="G621" s="91"/>
      <c r="H621" s="91"/>
      <c r="I621" s="91"/>
      <c r="J621" s="91"/>
      <c r="K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c r="HV621" s="91"/>
      <c r="HW621" s="91"/>
      <c r="HX621" s="91"/>
      <c r="HY621" s="91"/>
      <c r="HZ621" s="91"/>
      <c r="IA621" s="91"/>
      <c r="IB621" s="91"/>
      <c r="IC621" s="91"/>
      <c r="ID621" s="91"/>
      <c r="IE621" s="91"/>
    </row>
    <row r="622" spans="2:239" ht="15" x14ac:dyDescent="0.2">
      <c r="B622" s="91"/>
      <c r="C622" s="91"/>
      <c r="D622" s="91"/>
      <c r="E622" s="227"/>
      <c r="F622" s="91"/>
      <c r="G622" s="91"/>
      <c r="H622" s="91"/>
      <c r="I622" s="91"/>
      <c r="J622" s="91"/>
      <c r="K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c r="GU622" s="91"/>
      <c r="GV622" s="91"/>
      <c r="GW622" s="91"/>
      <c r="GX622" s="91"/>
      <c r="GY622" s="91"/>
      <c r="GZ622" s="91"/>
      <c r="HA622" s="91"/>
      <c r="HB622" s="91"/>
      <c r="HC622" s="91"/>
      <c r="HD622" s="91"/>
      <c r="HE622" s="91"/>
      <c r="HF622" s="91"/>
      <c r="HG622" s="91"/>
      <c r="HH622" s="91"/>
      <c r="HI622" s="91"/>
      <c r="HJ622" s="91"/>
      <c r="HK622" s="91"/>
      <c r="HL622" s="91"/>
      <c r="HM622" s="91"/>
      <c r="HN622" s="91"/>
      <c r="HO622" s="91"/>
      <c r="HP622" s="91"/>
      <c r="HQ622" s="91"/>
      <c r="HR622" s="91"/>
      <c r="HS622" s="91"/>
      <c r="HT622" s="91"/>
      <c r="HU622" s="91"/>
      <c r="HV622" s="91"/>
      <c r="HW622" s="91"/>
      <c r="HX622" s="91"/>
      <c r="HY622" s="91"/>
      <c r="HZ622" s="91"/>
      <c r="IA622" s="91"/>
      <c r="IB622" s="91"/>
      <c r="IC622" s="91"/>
      <c r="ID622" s="91"/>
      <c r="IE622" s="91"/>
    </row>
    <row r="623" spans="2:239" ht="15" x14ac:dyDescent="0.2">
      <c r="B623" s="91"/>
      <c r="C623" s="91"/>
      <c r="D623" s="91"/>
      <c r="E623" s="227"/>
      <c r="F623" s="91"/>
      <c r="G623" s="91"/>
      <c r="H623" s="91"/>
      <c r="I623" s="91"/>
      <c r="J623" s="91"/>
      <c r="K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c r="GU623" s="91"/>
      <c r="GV623" s="91"/>
      <c r="GW623" s="91"/>
      <c r="GX623" s="91"/>
      <c r="GY623" s="91"/>
      <c r="GZ623" s="91"/>
      <c r="HA623" s="91"/>
      <c r="HB623" s="91"/>
      <c r="HC623" s="91"/>
      <c r="HD623" s="91"/>
      <c r="HE623" s="91"/>
      <c r="HF623" s="91"/>
      <c r="HG623" s="91"/>
      <c r="HH623" s="91"/>
      <c r="HI623" s="91"/>
      <c r="HJ623" s="91"/>
      <c r="HK623" s="91"/>
      <c r="HL623" s="91"/>
      <c r="HM623" s="91"/>
      <c r="HN623" s="91"/>
      <c r="HO623" s="91"/>
      <c r="HP623" s="91"/>
      <c r="HQ623" s="91"/>
      <c r="HR623" s="91"/>
      <c r="HS623" s="91"/>
      <c r="HT623" s="91"/>
      <c r="HU623" s="91"/>
      <c r="HV623" s="91"/>
      <c r="HW623" s="91"/>
      <c r="HX623" s="91"/>
      <c r="HY623" s="91"/>
      <c r="HZ623" s="91"/>
      <c r="IA623" s="91"/>
      <c r="IB623" s="91"/>
      <c r="IC623" s="91"/>
      <c r="ID623" s="91"/>
      <c r="IE623" s="91"/>
    </row>
    <row r="624" spans="2:239" ht="15" x14ac:dyDescent="0.2">
      <c r="B624" s="91"/>
      <c r="C624" s="91"/>
      <c r="D624" s="91"/>
      <c r="E624" s="227"/>
      <c r="F624" s="91"/>
      <c r="G624" s="91"/>
      <c r="H624" s="91"/>
      <c r="I624" s="91"/>
      <c r="J624" s="91"/>
      <c r="K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c r="HV624" s="91"/>
      <c r="HW624" s="91"/>
      <c r="HX624" s="91"/>
      <c r="HY624" s="91"/>
      <c r="HZ624" s="91"/>
      <c r="IA624" s="91"/>
      <c r="IB624" s="91"/>
      <c r="IC624" s="91"/>
      <c r="ID624" s="91"/>
      <c r="IE624" s="91"/>
    </row>
    <row r="625" spans="2:239" ht="15" x14ac:dyDescent="0.2">
      <c r="B625" s="91"/>
      <c r="C625" s="91"/>
      <c r="D625" s="91"/>
      <c r="E625" s="227"/>
      <c r="F625" s="91"/>
      <c r="G625" s="91"/>
      <c r="H625" s="91"/>
      <c r="I625" s="91"/>
      <c r="J625" s="91"/>
      <c r="K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c r="GU625" s="91"/>
      <c r="GV625" s="91"/>
      <c r="GW625" s="91"/>
      <c r="GX625" s="91"/>
      <c r="GY625" s="91"/>
      <c r="GZ625" s="91"/>
      <c r="HA625" s="91"/>
      <c r="HB625" s="91"/>
      <c r="HC625" s="91"/>
      <c r="HD625" s="91"/>
      <c r="HE625" s="91"/>
      <c r="HF625" s="91"/>
      <c r="HG625" s="91"/>
      <c r="HH625" s="91"/>
      <c r="HI625" s="91"/>
      <c r="HJ625" s="91"/>
      <c r="HK625" s="91"/>
      <c r="HL625" s="91"/>
      <c r="HM625" s="91"/>
      <c r="HN625" s="91"/>
      <c r="HO625" s="91"/>
      <c r="HP625" s="91"/>
      <c r="HQ625" s="91"/>
      <c r="HR625" s="91"/>
      <c r="HS625" s="91"/>
      <c r="HT625" s="91"/>
      <c r="HU625" s="91"/>
      <c r="HV625" s="91"/>
      <c r="HW625" s="91"/>
      <c r="HX625" s="91"/>
      <c r="HY625" s="91"/>
      <c r="HZ625" s="91"/>
      <c r="IA625" s="91"/>
      <c r="IB625" s="91"/>
      <c r="IC625" s="91"/>
      <c r="ID625" s="91"/>
      <c r="IE625" s="91"/>
    </row>
    <row r="626" spans="2:239" ht="15" x14ac:dyDescent="0.2">
      <c r="B626" s="91"/>
      <c r="C626" s="91"/>
      <c r="D626" s="91"/>
      <c r="E626" s="227"/>
      <c r="F626" s="91"/>
      <c r="G626" s="91"/>
      <c r="H626" s="91"/>
      <c r="I626" s="91"/>
      <c r="J626" s="91"/>
      <c r="K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c r="GU626" s="91"/>
      <c r="GV626" s="91"/>
      <c r="GW626" s="91"/>
      <c r="GX626" s="91"/>
      <c r="GY626" s="91"/>
      <c r="GZ626" s="91"/>
      <c r="HA626" s="91"/>
      <c r="HB626" s="91"/>
      <c r="HC626" s="91"/>
      <c r="HD626" s="91"/>
      <c r="HE626" s="91"/>
      <c r="HF626" s="91"/>
      <c r="HG626" s="91"/>
      <c r="HH626" s="91"/>
      <c r="HI626" s="91"/>
      <c r="HJ626" s="91"/>
      <c r="HK626" s="91"/>
      <c r="HL626" s="91"/>
      <c r="HM626" s="91"/>
      <c r="HN626" s="91"/>
      <c r="HO626" s="91"/>
      <c r="HP626" s="91"/>
      <c r="HQ626" s="91"/>
      <c r="HR626" s="91"/>
      <c r="HS626" s="91"/>
      <c r="HT626" s="91"/>
      <c r="HU626" s="91"/>
      <c r="HV626" s="91"/>
      <c r="HW626" s="91"/>
      <c r="HX626" s="91"/>
      <c r="HY626" s="91"/>
      <c r="HZ626" s="91"/>
      <c r="IA626" s="91"/>
      <c r="IB626" s="91"/>
      <c r="IC626" s="91"/>
      <c r="ID626" s="91"/>
      <c r="IE626" s="91"/>
    </row>
    <row r="627" spans="2:239" ht="15" x14ac:dyDescent="0.2">
      <c r="B627" s="91"/>
      <c r="C627" s="91"/>
      <c r="D627" s="91"/>
      <c r="E627" s="227"/>
      <c r="F627" s="91"/>
      <c r="G627" s="91"/>
      <c r="H627" s="91"/>
      <c r="I627" s="91"/>
      <c r="J627" s="91"/>
      <c r="K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c r="GU627" s="91"/>
      <c r="GV627" s="91"/>
      <c r="GW627" s="91"/>
      <c r="GX627" s="91"/>
      <c r="GY627" s="91"/>
      <c r="GZ627" s="91"/>
      <c r="HA627" s="91"/>
      <c r="HB627" s="91"/>
      <c r="HC627" s="91"/>
      <c r="HD627" s="91"/>
      <c r="HE627" s="91"/>
      <c r="HF627" s="91"/>
      <c r="HG627" s="91"/>
      <c r="HH627" s="91"/>
      <c r="HI627" s="91"/>
      <c r="HJ627" s="91"/>
      <c r="HK627" s="91"/>
      <c r="HL627" s="91"/>
      <c r="HM627" s="91"/>
      <c r="HN627" s="91"/>
      <c r="HO627" s="91"/>
      <c r="HP627" s="91"/>
      <c r="HQ627" s="91"/>
      <c r="HR627" s="91"/>
      <c r="HS627" s="91"/>
      <c r="HT627" s="91"/>
      <c r="HU627" s="91"/>
      <c r="HV627" s="91"/>
      <c r="HW627" s="91"/>
      <c r="HX627" s="91"/>
      <c r="HY627" s="91"/>
      <c r="HZ627" s="91"/>
      <c r="IA627" s="91"/>
      <c r="IB627" s="91"/>
      <c r="IC627" s="91"/>
      <c r="ID627" s="91"/>
      <c r="IE627" s="91"/>
    </row>
    <row r="628" spans="2:239" ht="15" x14ac:dyDescent="0.2">
      <c r="B628" s="91"/>
      <c r="C628" s="91"/>
      <c r="D628" s="91"/>
      <c r="E628" s="227"/>
      <c r="F628" s="91"/>
      <c r="G628" s="91"/>
      <c r="H628" s="91"/>
      <c r="I628" s="91"/>
      <c r="J628" s="91"/>
      <c r="K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c r="GU628" s="91"/>
      <c r="GV628" s="91"/>
      <c r="GW628" s="91"/>
      <c r="GX628" s="91"/>
      <c r="GY628" s="91"/>
      <c r="GZ628" s="91"/>
      <c r="HA628" s="91"/>
      <c r="HB628" s="91"/>
      <c r="HC628" s="91"/>
      <c r="HD628" s="91"/>
      <c r="HE628" s="91"/>
      <c r="HF628" s="91"/>
      <c r="HG628" s="91"/>
      <c r="HH628" s="91"/>
      <c r="HI628" s="91"/>
      <c r="HJ628" s="91"/>
      <c r="HK628" s="91"/>
      <c r="HL628" s="91"/>
      <c r="HM628" s="91"/>
      <c r="HN628" s="91"/>
      <c r="HO628" s="91"/>
      <c r="HP628" s="91"/>
      <c r="HQ628" s="91"/>
      <c r="HR628" s="91"/>
      <c r="HS628" s="91"/>
      <c r="HT628" s="91"/>
      <c r="HU628" s="91"/>
      <c r="HV628" s="91"/>
      <c r="HW628" s="91"/>
      <c r="HX628" s="91"/>
      <c r="HY628" s="91"/>
      <c r="HZ628" s="91"/>
      <c r="IA628" s="91"/>
      <c r="IB628" s="91"/>
      <c r="IC628" s="91"/>
      <c r="ID628" s="91"/>
      <c r="IE628" s="91"/>
    </row>
    <row r="629" spans="2:239" ht="15" x14ac:dyDescent="0.2">
      <c r="B629" s="91"/>
      <c r="C629" s="91"/>
      <c r="D629" s="91"/>
      <c r="E629" s="227"/>
      <c r="F629" s="91"/>
      <c r="G629" s="91"/>
      <c r="H629" s="91"/>
      <c r="I629" s="91"/>
      <c r="J629" s="91"/>
      <c r="K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c r="GU629" s="91"/>
      <c r="GV629" s="91"/>
      <c r="GW629" s="91"/>
      <c r="GX629" s="91"/>
      <c r="GY629" s="91"/>
      <c r="GZ629" s="91"/>
      <c r="HA629" s="91"/>
      <c r="HB629" s="91"/>
      <c r="HC629" s="91"/>
      <c r="HD629" s="91"/>
      <c r="HE629" s="91"/>
      <c r="HF629" s="91"/>
      <c r="HG629" s="91"/>
      <c r="HH629" s="91"/>
      <c r="HI629" s="91"/>
      <c r="HJ629" s="91"/>
      <c r="HK629" s="91"/>
      <c r="HL629" s="91"/>
      <c r="HM629" s="91"/>
      <c r="HN629" s="91"/>
      <c r="HO629" s="91"/>
      <c r="HP629" s="91"/>
      <c r="HQ629" s="91"/>
      <c r="HR629" s="91"/>
      <c r="HS629" s="91"/>
      <c r="HT629" s="91"/>
      <c r="HU629" s="91"/>
      <c r="HV629" s="91"/>
      <c r="HW629" s="91"/>
      <c r="HX629" s="91"/>
      <c r="HY629" s="91"/>
      <c r="HZ629" s="91"/>
      <c r="IA629" s="91"/>
      <c r="IB629" s="91"/>
      <c r="IC629" s="91"/>
      <c r="ID629" s="91"/>
      <c r="IE629" s="91"/>
    </row>
    <row r="630" spans="2:239" ht="15" x14ac:dyDescent="0.2">
      <c r="B630" s="91"/>
      <c r="C630" s="91"/>
      <c r="D630" s="91"/>
      <c r="E630" s="227"/>
      <c r="F630" s="91"/>
      <c r="G630" s="91"/>
      <c r="H630" s="91"/>
      <c r="I630" s="91"/>
      <c r="J630" s="91"/>
      <c r="K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c r="HV630" s="91"/>
      <c r="HW630" s="91"/>
      <c r="HX630" s="91"/>
      <c r="HY630" s="91"/>
      <c r="HZ630" s="91"/>
      <c r="IA630" s="91"/>
      <c r="IB630" s="91"/>
      <c r="IC630" s="91"/>
      <c r="ID630" s="91"/>
      <c r="IE630" s="91"/>
    </row>
    <row r="631" spans="2:239" ht="15" x14ac:dyDescent="0.2">
      <c r="B631" s="91"/>
      <c r="C631" s="91"/>
      <c r="D631" s="91"/>
      <c r="E631" s="227"/>
      <c r="F631" s="91"/>
      <c r="G631" s="91"/>
      <c r="H631" s="91"/>
      <c r="I631" s="91"/>
      <c r="J631" s="91"/>
      <c r="K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c r="GU631" s="91"/>
      <c r="GV631" s="91"/>
      <c r="GW631" s="91"/>
      <c r="GX631" s="91"/>
      <c r="GY631" s="91"/>
      <c r="GZ631" s="91"/>
      <c r="HA631" s="91"/>
      <c r="HB631" s="91"/>
      <c r="HC631" s="91"/>
      <c r="HD631" s="91"/>
      <c r="HE631" s="91"/>
      <c r="HF631" s="91"/>
      <c r="HG631" s="91"/>
      <c r="HH631" s="91"/>
      <c r="HI631" s="91"/>
      <c r="HJ631" s="91"/>
      <c r="HK631" s="91"/>
      <c r="HL631" s="91"/>
      <c r="HM631" s="91"/>
      <c r="HN631" s="91"/>
      <c r="HO631" s="91"/>
      <c r="HP631" s="91"/>
      <c r="HQ631" s="91"/>
      <c r="HR631" s="91"/>
      <c r="HS631" s="91"/>
      <c r="HT631" s="91"/>
      <c r="HU631" s="91"/>
      <c r="HV631" s="91"/>
      <c r="HW631" s="91"/>
      <c r="HX631" s="91"/>
      <c r="HY631" s="91"/>
      <c r="HZ631" s="91"/>
      <c r="IA631" s="91"/>
      <c r="IB631" s="91"/>
      <c r="IC631" s="91"/>
      <c r="ID631" s="91"/>
      <c r="IE631" s="91"/>
    </row>
    <row r="632" spans="2:239" ht="15" x14ac:dyDescent="0.2">
      <c r="B632" s="91"/>
      <c r="C632" s="91"/>
      <c r="D632" s="91"/>
      <c r="E632" s="227"/>
      <c r="F632" s="91"/>
      <c r="G632" s="91"/>
      <c r="H632" s="91"/>
      <c r="I632" s="91"/>
      <c r="J632" s="91"/>
      <c r="K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c r="GU632" s="91"/>
      <c r="GV632" s="91"/>
      <c r="GW632" s="91"/>
      <c r="GX632" s="91"/>
      <c r="GY632" s="91"/>
      <c r="GZ632" s="91"/>
      <c r="HA632" s="91"/>
      <c r="HB632" s="91"/>
      <c r="HC632" s="91"/>
      <c r="HD632" s="91"/>
      <c r="HE632" s="91"/>
      <c r="HF632" s="91"/>
      <c r="HG632" s="91"/>
      <c r="HH632" s="91"/>
      <c r="HI632" s="91"/>
      <c r="HJ632" s="91"/>
      <c r="HK632" s="91"/>
      <c r="HL632" s="91"/>
      <c r="HM632" s="91"/>
      <c r="HN632" s="91"/>
      <c r="HO632" s="91"/>
      <c r="HP632" s="91"/>
      <c r="HQ632" s="91"/>
      <c r="HR632" s="91"/>
      <c r="HS632" s="91"/>
      <c r="HT632" s="91"/>
      <c r="HU632" s="91"/>
      <c r="HV632" s="91"/>
      <c r="HW632" s="91"/>
      <c r="HX632" s="91"/>
      <c r="HY632" s="91"/>
      <c r="HZ632" s="91"/>
      <c r="IA632" s="91"/>
      <c r="IB632" s="91"/>
      <c r="IC632" s="91"/>
      <c r="ID632" s="91"/>
      <c r="IE632" s="91"/>
    </row>
    <row r="633" spans="2:239" ht="15" x14ac:dyDescent="0.2">
      <c r="B633" s="91"/>
      <c r="C633" s="91"/>
      <c r="D633" s="91"/>
      <c r="E633" s="227"/>
      <c r="F633" s="91"/>
      <c r="G633" s="91"/>
      <c r="H633" s="91"/>
      <c r="I633" s="91"/>
      <c r="J633" s="91"/>
      <c r="K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c r="HV633" s="91"/>
      <c r="HW633" s="91"/>
      <c r="HX633" s="91"/>
      <c r="HY633" s="91"/>
      <c r="HZ633" s="91"/>
      <c r="IA633" s="91"/>
      <c r="IB633" s="91"/>
      <c r="IC633" s="91"/>
      <c r="ID633" s="91"/>
      <c r="IE633" s="91"/>
    </row>
    <row r="634" spans="2:239" ht="15" x14ac:dyDescent="0.2">
      <c r="B634" s="91"/>
      <c r="C634" s="91"/>
      <c r="D634" s="91"/>
      <c r="E634" s="227"/>
      <c r="F634" s="91"/>
      <c r="G634" s="91"/>
      <c r="H634" s="91"/>
      <c r="I634" s="91"/>
      <c r="J634" s="91"/>
      <c r="K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c r="GU634" s="91"/>
      <c r="GV634" s="91"/>
      <c r="GW634" s="91"/>
      <c r="GX634" s="91"/>
      <c r="GY634" s="91"/>
      <c r="GZ634" s="91"/>
      <c r="HA634" s="91"/>
      <c r="HB634" s="91"/>
      <c r="HC634" s="91"/>
      <c r="HD634" s="91"/>
      <c r="HE634" s="91"/>
      <c r="HF634" s="91"/>
      <c r="HG634" s="91"/>
      <c r="HH634" s="91"/>
      <c r="HI634" s="91"/>
      <c r="HJ634" s="91"/>
      <c r="HK634" s="91"/>
      <c r="HL634" s="91"/>
      <c r="HM634" s="91"/>
      <c r="HN634" s="91"/>
      <c r="HO634" s="91"/>
      <c r="HP634" s="91"/>
      <c r="HQ634" s="91"/>
      <c r="HR634" s="91"/>
      <c r="HS634" s="91"/>
      <c r="HT634" s="91"/>
      <c r="HU634" s="91"/>
      <c r="HV634" s="91"/>
      <c r="HW634" s="91"/>
      <c r="HX634" s="91"/>
      <c r="HY634" s="91"/>
      <c r="HZ634" s="91"/>
      <c r="IA634" s="91"/>
      <c r="IB634" s="91"/>
      <c r="IC634" s="91"/>
      <c r="ID634" s="91"/>
      <c r="IE634" s="91"/>
    </row>
    <row r="635" spans="2:239" ht="15" x14ac:dyDescent="0.2">
      <c r="B635" s="91"/>
      <c r="C635" s="91"/>
      <c r="D635" s="91"/>
      <c r="E635" s="227"/>
      <c r="F635" s="91"/>
      <c r="G635" s="91"/>
      <c r="H635" s="91"/>
      <c r="I635" s="91"/>
      <c r="J635" s="91"/>
      <c r="K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c r="GU635" s="91"/>
      <c r="GV635" s="91"/>
      <c r="GW635" s="91"/>
      <c r="GX635" s="91"/>
      <c r="GY635" s="91"/>
      <c r="GZ635" s="91"/>
      <c r="HA635" s="91"/>
      <c r="HB635" s="91"/>
      <c r="HC635" s="91"/>
      <c r="HD635" s="91"/>
      <c r="HE635" s="91"/>
      <c r="HF635" s="91"/>
      <c r="HG635" s="91"/>
      <c r="HH635" s="91"/>
      <c r="HI635" s="91"/>
      <c r="HJ635" s="91"/>
      <c r="HK635" s="91"/>
      <c r="HL635" s="91"/>
      <c r="HM635" s="91"/>
      <c r="HN635" s="91"/>
      <c r="HO635" s="91"/>
      <c r="HP635" s="91"/>
      <c r="HQ635" s="91"/>
      <c r="HR635" s="91"/>
      <c r="HS635" s="91"/>
      <c r="HT635" s="91"/>
      <c r="HU635" s="91"/>
      <c r="HV635" s="91"/>
      <c r="HW635" s="91"/>
      <c r="HX635" s="91"/>
      <c r="HY635" s="91"/>
      <c r="HZ635" s="91"/>
      <c r="IA635" s="91"/>
      <c r="IB635" s="91"/>
      <c r="IC635" s="91"/>
      <c r="ID635" s="91"/>
      <c r="IE635" s="91"/>
    </row>
    <row r="636" spans="2:239" ht="15" x14ac:dyDescent="0.2">
      <c r="B636" s="91"/>
      <c r="C636" s="91"/>
      <c r="D636" s="91"/>
      <c r="E636" s="227"/>
      <c r="F636" s="91"/>
      <c r="G636" s="91"/>
      <c r="H636" s="91"/>
      <c r="I636" s="91"/>
      <c r="J636" s="91"/>
      <c r="K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c r="HV636" s="91"/>
      <c r="HW636" s="91"/>
      <c r="HX636" s="91"/>
      <c r="HY636" s="91"/>
      <c r="HZ636" s="91"/>
      <c r="IA636" s="91"/>
      <c r="IB636" s="91"/>
      <c r="IC636" s="91"/>
      <c r="ID636" s="91"/>
      <c r="IE636" s="91"/>
    </row>
    <row r="637" spans="2:239" ht="15" x14ac:dyDescent="0.2">
      <c r="B637" s="91"/>
      <c r="C637" s="91"/>
      <c r="D637" s="91"/>
      <c r="E637" s="227"/>
      <c r="F637" s="91"/>
      <c r="G637" s="91"/>
      <c r="H637" s="91"/>
      <c r="I637" s="91"/>
      <c r="J637" s="91"/>
      <c r="K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row>
    <row r="638" spans="2:239" ht="15" x14ac:dyDescent="0.2">
      <c r="B638" s="91"/>
      <c r="C638" s="91"/>
      <c r="D638" s="91"/>
      <c r="E638" s="227"/>
      <c r="F638" s="91"/>
      <c r="G638" s="91"/>
      <c r="H638" s="91"/>
      <c r="I638" s="91"/>
      <c r="J638" s="91"/>
      <c r="K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c r="GU638" s="91"/>
      <c r="GV638" s="91"/>
      <c r="GW638" s="91"/>
      <c r="GX638" s="91"/>
      <c r="GY638" s="91"/>
      <c r="GZ638" s="91"/>
      <c r="HA638" s="91"/>
      <c r="HB638" s="91"/>
      <c r="HC638" s="91"/>
      <c r="HD638" s="91"/>
      <c r="HE638" s="91"/>
      <c r="HF638" s="91"/>
      <c r="HG638" s="91"/>
      <c r="HH638" s="91"/>
      <c r="HI638" s="91"/>
      <c r="HJ638" s="91"/>
      <c r="HK638" s="91"/>
      <c r="HL638" s="91"/>
      <c r="HM638" s="91"/>
      <c r="HN638" s="91"/>
      <c r="HO638" s="91"/>
      <c r="HP638" s="91"/>
      <c r="HQ638" s="91"/>
      <c r="HR638" s="91"/>
      <c r="HS638" s="91"/>
      <c r="HT638" s="91"/>
      <c r="HU638" s="91"/>
      <c r="HV638" s="91"/>
      <c r="HW638" s="91"/>
      <c r="HX638" s="91"/>
      <c r="HY638" s="91"/>
      <c r="HZ638" s="91"/>
      <c r="IA638" s="91"/>
      <c r="IB638" s="91"/>
      <c r="IC638" s="91"/>
      <c r="ID638" s="91"/>
      <c r="IE638" s="91"/>
    </row>
    <row r="639" spans="2:239" ht="15" x14ac:dyDescent="0.2">
      <c r="B639" s="91"/>
      <c r="C639" s="91"/>
      <c r="D639" s="91"/>
      <c r="E639" s="227"/>
      <c r="F639" s="91"/>
      <c r="G639" s="91"/>
      <c r="H639" s="91"/>
      <c r="I639" s="91"/>
      <c r="J639" s="91"/>
      <c r="K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c r="GU639" s="91"/>
      <c r="GV639" s="91"/>
      <c r="GW639" s="91"/>
      <c r="GX639" s="91"/>
      <c r="GY639" s="91"/>
      <c r="GZ639" s="91"/>
      <c r="HA639" s="91"/>
      <c r="HB639" s="91"/>
      <c r="HC639" s="91"/>
      <c r="HD639" s="91"/>
      <c r="HE639" s="91"/>
      <c r="HF639" s="91"/>
      <c r="HG639" s="91"/>
      <c r="HH639" s="91"/>
      <c r="HI639" s="91"/>
      <c r="HJ639" s="91"/>
      <c r="HK639" s="91"/>
      <c r="HL639" s="91"/>
      <c r="HM639" s="91"/>
      <c r="HN639" s="91"/>
      <c r="HO639" s="91"/>
      <c r="HP639" s="91"/>
      <c r="HQ639" s="91"/>
      <c r="HR639" s="91"/>
      <c r="HS639" s="91"/>
      <c r="HT639" s="91"/>
      <c r="HU639" s="91"/>
      <c r="HV639" s="91"/>
      <c r="HW639" s="91"/>
      <c r="HX639" s="91"/>
      <c r="HY639" s="91"/>
      <c r="HZ639" s="91"/>
      <c r="IA639" s="91"/>
      <c r="IB639" s="91"/>
      <c r="IC639" s="91"/>
      <c r="ID639" s="91"/>
      <c r="IE639" s="91"/>
    </row>
    <row r="640" spans="2:239" ht="15" x14ac:dyDescent="0.2">
      <c r="B640" s="91"/>
      <c r="C640" s="91"/>
      <c r="D640" s="91"/>
      <c r="E640" s="227"/>
      <c r="F640" s="91"/>
      <c r="G640" s="91"/>
      <c r="H640" s="91"/>
      <c r="I640" s="91"/>
      <c r="J640" s="91"/>
      <c r="K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row>
    <row r="641" spans="2:239" ht="15" x14ac:dyDescent="0.2">
      <c r="B641" s="91"/>
      <c r="C641" s="91"/>
      <c r="D641" s="91"/>
      <c r="E641" s="227"/>
      <c r="F641" s="91"/>
      <c r="G641" s="91"/>
      <c r="H641" s="91"/>
      <c r="I641" s="91"/>
      <c r="J641" s="91"/>
      <c r="K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c r="GU641" s="91"/>
      <c r="GV641" s="91"/>
      <c r="GW641" s="91"/>
      <c r="GX641" s="91"/>
      <c r="GY641" s="91"/>
      <c r="GZ641" s="91"/>
      <c r="HA641" s="91"/>
      <c r="HB641" s="91"/>
      <c r="HC641" s="91"/>
      <c r="HD641" s="91"/>
      <c r="HE641" s="91"/>
      <c r="HF641" s="91"/>
      <c r="HG641" s="91"/>
      <c r="HH641" s="91"/>
      <c r="HI641" s="91"/>
      <c r="HJ641" s="91"/>
      <c r="HK641" s="91"/>
      <c r="HL641" s="91"/>
      <c r="HM641" s="91"/>
      <c r="HN641" s="91"/>
      <c r="HO641" s="91"/>
      <c r="HP641" s="91"/>
      <c r="HQ641" s="91"/>
      <c r="HR641" s="91"/>
      <c r="HS641" s="91"/>
      <c r="HT641" s="91"/>
      <c r="HU641" s="91"/>
      <c r="HV641" s="91"/>
      <c r="HW641" s="91"/>
      <c r="HX641" s="91"/>
      <c r="HY641" s="91"/>
      <c r="HZ641" s="91"/>
      <c r="IA641" s="91"/>
      <c r="IB641" s="91"/>
      <c r="IC641" s="91"/>
      <c r="ID641" s="91"/>
      <c r="IE641" s="91"/>
    </row>
    <row r="642" spans="2:239" ht="15" x14ac:dyDescent="0.2">
      <c r="B642" s="91"/>
      <c r="C642" s="91"/>
      <c r="D642" s="91"/>
      <c r="E642" s="227"/>
      <c r="F642" s="91"/>
      <c r="G642" s="91"/>
      <c r="H642" s="91"/>
      <c r="I642" s="91"/>
      <c r="J642" s="91"/>
      <c r="K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row>
    <row r="643" spans="2:239" ht="15" x14ac:dyDescent="0.2">
      <c r="B643" s="91"/>
      <c r="C643" s="91"/>
      <c r="D643" s="91"/>
      <c r="E643" s="227"/>
      <c r="F643" s="91"/>
      <c r="G643" s="91"/>
      <c r="H643" s="91"/>
      <c r="I643" s="91"/>
      <c r="J643" s="91"/>
      <c r="K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c r="GU643" s="91"/>
      <c r="GV643" s="91"/>
      <c r="GW643" s="91"/>
      <c r="GX643" s="91"/>
      <c r="GY643" s="91"/>
      <c r="GZ643" s="91"/>
      <c r="HA643" s="91"/>
      <c r="HB643" s="91"/>
      <c r="HC643" s="91"/>
      <c r="HD643" s="91"/>
      <c r="HE643" s="91"/>
      <c r="HF643" s="91"/>
      <c r="HG643" s="91"/>
      <c r="HH643" s="91"/>
      <c r="HI643" s="91"/>
      <c r="HJ643" s="91"/>
      <c r="HK643" s="91"/>
      <c r="HL643" s="91"/>
      <c r="HM643" s="91"/>
      <c r="HN643" s="91"/>
      <c r="HO643" s="91"/>
      <c r="HP643" s="91"/>
      <c r="HQ643" s="91"/>
      <c r="HR643" s="91"/>
      <c r="HS643" s="91"/>
      <c r="HT643" s="91"/>
      <c r="HU643" s="91"/>
      <c r="HV643" s="91"/>
      <c r="HW643" s="91"/>
      <c r="HX643" s="91"/>
      <c r="HY643" s="91"/>
      <c r="HZ643" s="91"/>
      <c r="IA643" s="91"/>
      <c r="IB643" s="91"/>
      <c r="IC643" s="91"/>
      <c r="ID643" s="91"/>
      <c r="IE643" s="91"/>
    </row>
    <row r="644" spans="2:239" ht="15" x14ac:dyDescent="0.2">
      <c r="B644" s="91"/>
      <c r="C644" s="91"/>
      <c r="D644" s="91"/>
      <c r="E644" s="227"/>
      <c r="F644" s="91"/>
      <c r="G644" s="91"/>
      <c r="H644" s="91"/>
      <c r="I644" s="91"/>
      <c r="J644" s="91"/>
      <c r="K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c r="GU644" s="91"/>
      <c r="GV644" s="91"/>
      <c r="GW644" s="91"/>
      <c r="GX644" s="91"/>
      <c r="GY644" s="91"/>
      <c r="GZ644" s="91"/>
      <c r="HA644" s="91"/>
      <c r="HB644" s="91"/>
      <c r="HC644" s="91"/>
      <c r="HD644" s="91"/>
      <c r="HE644" s="91"/>
      <c r="HF644" s="91"/>
      <c r="HG644" s="91"/>
      <c r="HH644" s="91"/>
      <c r="HI644" s="91"/>
      <c r="HJ644" s="91"/>
      <c r="HK644" s="91"/>
      <c r="HL644" s="91"/>
      <c r="HM644" s="91"/>
      <c r="HN644" s="91"/>
      <c r="HO644" s="91"/>
      <c r="HP644" s="91"/>
      <c r="HQ644" s="91"/>
      <c r="HR644" s="91"/>
      <c r="HS644" s="91"/>
      <c r="HT644" s="91"/>
      <c r="HU644" s="91"/>
      <c r="HV644" s="91"/>
      <c r="HW644" s="91"/>
      <c r="HX644" s="91"/>
      <c r="HY644" s="91"/>
      <c r="HZ644" s="91"/>
      <c r="IA644" s="91"/>
      <c r="IB644" s="91"/>
      <c r="IC644" s="91"/>
      <c r="ID644" s="91"/>
      <c r="IE644" s="91"/>
    </row>
    <row r="645" spans="2:239" ht="15" x14ac:dyDescent="0.2">
      <c r="B645" s="91"/>
      <c r="C645" s="91"/>
      <c r="D645" s="91"/>
      <c r="E645" s="227"/>
      <c r="F645" s="91"/>
      <c r="G645" s="91"/>
      <c r="H645" s="91"/>
      <c r="I645" s="91"/>
      <c r="J645" s="91"/>
      <c r="K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c r="HV645" s="91"/>
      <c r="HW645" s="91"/>
      <c r="HX645" s="91"/>
      <c r="HY645" s="91"/>
      <c r="HZ645" s="91"/>
      <c r="IA645" s="91"/>
      <c r="IB645" s="91"/>
      <c r="IC645" s="91"/>
      <c r="ID645" s="91"/>
      <c r="IE645" s="91"/>
    </row>
    <row r="646" spans="2:239" ht="15" x14ac:dyDescent="0.2">
      <c r="B646" s="91"/>
      <c r="C646" s="91"/>
      <c r="D646" s="91"/>
      <c r="E646" s="227"/>
      <c r="F646" s="91"/>
      <c r="G646" s="91"/>
      <c r="H646" s="91"/>
      <c r="I646" s="91"/>
      <c r="J646" s="91"/>
      <c r="K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c r="GU646" s="91"/>
      <c r="GV646" s="91"/>
      <c r="GW646" s="91"/>
      <c r="GX646" s="91"/>
      <c r="GY646" s="91"/>
      <c r="GZ646" s="91"/>
      <c r="HA646" s="91"/>
      <c r="HB646" s="91"/>
      <c r="HC646" s="91"/>
      <c r="HD646" s="91"/>
      <c r="HE646" s="91"/>
      <c r="HF646" s="91"/>
      <c r="HG646" s="91"/>
      <c r="HH646" s="91"/>
      <c r="HI646" s="91"/>
      <c r="HJ646" s="91"/>
      <c r="HK646" s="91"/>
      <c r="HL646" s="91"/>
      <c r="HM646" s="91"/>
      <c r="HN646" s="91"/>
      <c r="HO646" s="91"/>
      <c r="HP646" s="91"/>
      <c r="HQ646" s="91"/>
      <c r="HR646" s="91"/>
      <c r="HS646" s="91"/>
      <c r="HT646" s="91"/>
      <c r="HU646" s="91"/>
      <c r="HV646" s="91"/>
      <c r="HW646" s="91"/>
      <c r="HX646" s="91"/>
      <c r="HY646" s="91"/>
      <c r="HZ646" s="91"/>
      <c r="IA646" s="91"/>
      <c r="IB646" s="91"/>
      <c r="IC646" s="91"/>
      <c r="ID646" s="91"/>
      <c r="IE646" s="91"/>
    </row>
    <row r="647" spans="2:239" ht="15" x14ac:dyDescent="0.2">
      <c r="B647" s="91"/>
      <c r="C647" s="91"/>
      <c r="D647" s="91"/>
      <c r="E647" s="227"/>
      <c r="F647" s="91"/>
      <c r="G647" s="91"/>
      <c r="H647" s="91"/>
      <c r="I647" s="91"/>
      <c r="J647" s="91"/>
      <c r="K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c r="HV647" s="91"/>
      <c r="HW647" s="91"/>
      <c r="HX647" s="91"/>
      <c r="HY647" s="91"/>
      <c r="HZ647" s="91"/>
      <c r="IA647" s="91"/>
      <c r="IB647" s="91"/>
      <c r="IC647" s="91"/>
      <c r="ID647" s="91"/>
      <c r="IE647" s="91"/>
    </row>
    <row r="648" spans="2:239" ht="15" x14ac:dyDescent="0.2">
      <c r="B648" s="91"/>
      <c r="C648" s="91"/>
      <c r="D648" s="91"/>
      <c r="E648" s="227"/>
      <c r="F648" s="91"/>
      <c r="G648" s="91"/>
      <c r="H648" s="91"/>
      <c r="I648" s="91"/>
      <c r="J648" s="91"/>
      <c r="K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c r="HV648" s="91"/>
      <c r="HW648" s="91"/>
      <c r="HX648" s="91"/>
      <c r="HY648" s="91"/>
      <c r="HZ648" s="91"/>
      <c r="IA648" s="91"/>
      <c r="IB648" s="91"/>
      <c r="IC648" s="91"/>
      <c r="ID648" s="91"/>
      <c r="IE648" s="91"/>
    </row>
    <row r="649" spans="2:239" ht="15" x14ac:dyDescent="0.2">
      <c r="B649" s="91"/>
      <c r="C649" s="91"/>
      <c r="D649" s="91"/>
      <c r="E649" s="227"/>
      <c r="F649" s="91"/>
      <c r="G649" s="91"/>
      <c r="H649" s="91"/>
      <c r="I649" s="91"/>
      <c r="J649" s="91"/>
      <c r="K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c r="GU649" s="91"/>
      <c r="GV649" s="91"/>
      <c r="GW649" s="91"/>
      <c r="GX649" s="91"/>
      <c r="GY649" s="91"/>
      <c r="GZ649" s="91"/>
      <c r="HA649" s="91"/>
      <c r="HB649" s="91"/>
      <c r="HC649" s="91"/>
      <c r="HD649" s="91"/>
      <c r="HE649" s="91"/>
      <c r="HF649" s="91"/>
      <c r="HG649" s="91"/>
      <c r="HH649" s="91"/>
      <c r="HI649" s="91"/>
      <c r="HJ649" s="91"/>
      <c r="HK649" s="91"/>
      <c r="HL649" s="91"/>
      <c r="HM649" s="91"/>
      <c r="HN649" s="91"/>
      <c r="HO649" s="91"/>
      <c r="HP649" s="91"/>
      <c r="HQ649" s="91"/>
      <c r="HR649" s="91"/>
      <c r="HS649" s="91"/>
      <c r="HT649" s="91"/>
      <c r="HU649" s="91"/>
      <c r="HV649" s="91"/>
      <c r="HW649" s="91"/>
      <c r="HX649" s="91"/>
      <c r="HY649" s="91"/>
      <c r="HZ649" s="91"/>
      <c r="IA649" s="91"/>
      <c r="IB649" s="91"/>
      <c r="IC649" s="91"/>
      <c r="ID649" s="91"/>
      <c r="IE649" s="91"/>
    </row>
    <row r="650" spans="2:239" ht="15" x14ac:dyDescent="0.2">
      <c r="B650" s="91"/>
      <c r="C650" s="91"/>
      <c r="D650" s="91"/>
      <c r="E650" s="227"/>
      <c r="F650" s="91"/>
      <c r="G650" s="91"/>
      <c r="H650" s="91"/>
      <c r="I650" s="91"/>
      <c r="J650" s="91"/>
      <c r="K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row>
    <row r="651" spans="2:239" ht="15" x14ac:dyDescent="0.2">
      <c r="B651" s="91"/>
      <c r="C651" s="91"/>
      <c r="D651" s="91"/>
      <c r="E651" s="227"/>
      <c r="F651" s="91"/>
      <c r="G651" s="91"/>
      <c r="H651" s="91"/>
      <c r="I651" s="91"/>
      <c r="J651" s="91"/>
      <c r="K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c r="GU651" s="91"/>
      <c r="GV651" s="91"/>
      <c r="GW651" s="91"/>
      <c r="GX651" s="91"/>
      <c r="GY651" s="91"/>
      <c r="GZ651" s="91"/>
      <c r="HA651" s="91"/>
      <c r="HB651" s="91"/>
      <c r="HC651" s="91"/>
      <c r="HD651" s="91"/>
      <c r="HE651" s="91"/>
      <c r="HF651" s="91"/>
      <c r="HG651" s="91"/>
      <c r="HH651" s="91"/>
      <c r="HI651" s="91"/>
      <c r="HJ651" s="91"/>
      <c r="HK651" s="91"/>
      <c r="HL651" s="91"/>
      <c r="HM651" s="91"/>
      <c r="HN651" s="91"/>
      <c r="HO651" s="91"/>
      <c r="HP651" s="91"/>
      <c r="HQ651" s="91"/>
      <c r="HR651" s="91"/>
      <c r="HS651" s="91"/>
      <c r="HT651" s="91"/>
      <c r="HU651" s="91"/>
      <c r="HV651" s="91"/>
      <c r="HW651" s="91"/>
      <c r="HX651" s="91"/>
      <c r="HY651" s="91"/>
      <c r="HZ651" s="91"/>
      <c r="IA651" s="91"/>
      <c r="IB651" s="91"/>
      <c r="IC651" s="91"/>
      <c r="ID651" s="91"/>
      <c r="IE651" s="91"/>
    </row>
    <row r="652" spans="2:239" ht="15" x14ac:dyDescent="0.2">
      <c r="B652" s="91"/>
      <c r="C652" s="91"/>
      <c r="D652" s="91"/>
      <c r="E652" s="227"/>
      <c r="F652" s="91"/>
      <c r="G652" s="91"/>
      <c r="H652" s="91"/>
      <c r="I652" s="91"/>
      <c r="J652" s="91"/>
      <c r="K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c r="GU652" s="91"/>
      <c r="GV652" s="91"/>
      <c r="GW652" s="91"/>
      <c r="GX652" s="91"/>
      <c r="GY652" s="91"/>
      <c r="GZ652" s="91"/>
      <c r="HA652" s="91"/>
      <c r="HB652" s="91"/>
      <c r="HC652" s="91"/>
      <c r="HD652" s="91"/>
      <c r="HE652" s="91"/>
      <c r="HF652" s="91"/>
      <c r="HG652" s="91"/>
      <c r="HH652" s="91"/>
      <c r="HI652" s="91"/>
      <c r="HJ652" s="91"/>
      <c r="HK652" s="91"/>
      <c r="HL652" s="91"/>
      <c r="HM652" s="91"/>
      <c r="HN652" s="91"/>
      <c r="HO652" s="91"/>
      <c r="HP652" s="91"/>
      <c r="HQ652" s="91"/>
      <c r="HR652" s="91"/>
      <c r="HS652" s="91"/>
      <c r="HT652" s="91"/>
      <c r="HU652" s="91"/>
      <c r="HV652" s="91"/>
      <c r="HW652" s="91"/>
      <c r="HX652" s="91"/>
      <c r="HY652" s="91"/>
      <c r="HZ652" s="91"/>
      <c r="IA652" s="91"/>
      <c r="IB652" s="91"/>
      <c r="IC652" s="91"/>
      <c r="ID652" s="91"/>
      <c r="IE652" s="91"/>
    </row>
    <row r="653" spans="2:239" ht="15" x14ac:dyDescent="0.2">
      <c r="B653" s="91"/>
      <c r="C653" s="91"/>
      <c r="D653" s="91"/>
      <c r="E653" s="227"/>
      <c r="F653" s="91"/>
      <c r="G653" s="91"/>
      <c r="H653" s="91"/>
      <c r="I653" s="91"/>
      <c r="J653" s="91"/>
      <c r="K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c r="GU653" s="91"/>
      <c r="GV653" s="91"/>
      <c r="GW653" s="91"/>
      <c r="GX653" s="91"/>
      <c r="GY653" s="91"/>
      <c r="GZ653" s="91"/>
      <c r="HA653" s="91"/>
      <c r="HB653" s="91"/>
      <c r="HC653" s="91"/>
      <c r="HD653" s="91"/>
      <c r="HE653" s="91"/>
      <c r="HF653" s="91"/>
      <c r="HG653" s="91"/>
      <c r="HH653" s="91"/>
      <c r="HI653" s="91"/>
      <c r="HJ653" s="91"/>
      <c r="HK653" s="91"/>
      <c r="HL653" s="91"/>
      <c r="HM653" s="91"/>
      <c r="HN653" s="91"/>
      <c r="HO653" s="91"/>
      <c r="HP653" s="91"/>
      <c r="HQ653" s="91"/>
      <c r="HR653" s="91"/>
      <c r="HS653" s="91"/>
      <c r="HT653" s="91"/>
      <c r="HU653" s="91"/>
      <c r="HV653" s="91"/>
      <c r="HW653" s="91"/>
      <c r="HX653" s="91"/>
      <c r="HY653" s="91"/>
      <c r="HZ653" s="91"/>
      <c r="IA653" s="91"/>
      <c r="IB653" s="91"/>
      <c r="IC653" s="91"/>
      <c r="ID653" s="91"/>
      <c r="IE653" s="91"/>
    </row>
    <row r="654" spans="2:239" ht="15" x14ac:dyDescent="0.2">
      <c r="B654" s="91"/>
      <c r="C654" s="91"/>
      <c r="D654" s="91"/>
      <c r="E654" s="227"/>
      <c r="F654" s="91"/>
      <c r="G654" s="91"/>
      <c r="H654" s="91"/>
      <c r="I654" s="91"/>
      <c r="J654" s="91"/>
      <c r="K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c r="GU654" s="91"/>
      <c r="GV654" s="91"/>
      <c r="GW654" s="91"/>
      <c r="GX654" s="91"/>
      <c r="GY654" s="91"/>
      <c r="GZ654" s="91"/>
      <c r="HA654" s="91"/>
      <c r="HB654" s="91"/>
      <c r="HC654" s="91"/>
      <c r="HD654" s="91"/>
      <c r="HE654" s="91"/>
      <c r="HF654" s="91"/>
      <c r="HG654" s="91"/>
      <c r="HH654" s="91"/>
      <c r="HI654" s="91"/>
      <c r="HJ654" s="91"/>
      <c r="HK654" s="91"/>
      <c r="HL654" s="91"/>
      <c r="HM654" s="91"/>
      <c r="HN654" s="91"/>
      <c r="HO654" s="91"/>
      <c r="HP654" s="91"/>
      <c r="HQ654" s="91"/>
      <c r="HR654" s="91"/>
      <c r="HS654" s="91"/>
      <c r="HT654" s="91"/>
      <c r="HU654" s="91"/>
      <c r="HV654" s="91"/>
      <c r="HW654" s="91"/>
      <c r="HX654" s="91"/>
      <c r="HY654" s="91"/>
      <c r="HZ654" s="91"/>
      <c r="IA654" s="91"/>
      <c r="IB654" s="91"/>
      <c r="IC654" s="91"/>
      <c r="ID654" s="91"/>
      <c r="IE654" s="91"/>
    </row>
    <row r="655" spans="2:239" ht="15" x14ac:dyDescent="0.2">
      <c r="B655" s="91"/>
      <c r="C655" s="91"/>
      <c r="D655" s="91"/>
      <c r="E655" s="227"/>
      <c r="F655" s="91"/>
      <c r="G655" s="91"/>
      <c r="H655" s="91"/>
      <c r="I655" s="91"/>
      <c r="J655" s="91"/>
      <c r="K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c r="GU655" s="91"/>
      <c r="GV655" s="91"/>
      <c r="GW655" s="91"/>
      <c r="GX655" s="91"/>
      <c r="GY655" s="91"/>
      <c r="GZ655" s="91"/>
      <c r="HA655" s="91"/>
      <c r="HB655" s="91"/>
      <c r="HC655" s="91"/>
      <c r="HD655" s="91"/>
      <c r="HE655" s="91"/>
      <c r="HF655" s="91"/>
      <c r="HG655" s="91"/>
      <c r="HH655" s="91"/>
      <c r="HI655" s="91"/>
      <c r="HJ655" s="91"/>
      <c r="HK655" s="91"/>
      <c r="HL655" s="91"/>
      <c r="HM655" s="91"/>
      <c r="HN655" s="91"/>
      <c r="HO655" s="91"/>
      <c r="HP655" s="91"/>
      <c r="HQ655" s="91"/>
      <c r="HR655" s="91"/>
      <c r="HS655" s="91"/>
      <c r="HT655" s="91"/>
      <c r="HU655" s="91"/>
      <c r="HV655" s="91"/>
      <c r="HW655" s="91"/>
      <c r="HX655" s="91"/>
      <c r="HY655" s="91"/>
      <c r="HZ655" s="91"/>
      <c r="IA655" s="91"/>
      <c r="IB655" s="91"/>
      <c r="IC655" s="91"/>
      <c r="ID655" s="91"/>
      <c r="IE655" s="91"/>
    </row>
    <row r="656" spans="2:239" ht="15" x14ac:dyDescent="0.2">
      <c r="B656" s="91"/>
      <c r="C656" s="91"/>
      <c r="D656" s="91"/>
      <c r="E656" s="227"/>
      <c r="F656" s="91"/>
      <c r="G656" s="91"/>
      <c r="H656" s="91"/>
      <c r="I656" s="91"/>
      <c r="J656" s="91"/>
      <c r="K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c r="HV656" s="91"/>
      <c r="HW656" s="91"/>
      <c r="HX656" s="91"/>
      <c r="HY656" s="91"/>
      <c r="HZ656" s="91"/>
      <c r="IA656" s="91"/>
      <c r="IB656" s="91"/>
      <c r="IC656" s="91"/>
      <c r="ID656" s="91"/>
      <c r="IE656" s="91"/>
    </row>
    <row r="657" spans="2:239" ht="15" x14ac:dyDescent="0.2">
      <c r="B657" s="91"/>
      <c r="C657" s="91"/>
      <c r="D657" s="91"/>
      <c r="E657" s="227"/>
      <c r="F657" s="91"/>
      <c r="G657" s="91"/>
      <c r="H657" s="91"/>
      <c r="I657" s="91"/>
      <c r="J657" s="91"/>
      <c r="K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c r="HV657" s="91"/>
      <c r="HW657" s="91"/>
      <c r="HX657" s="91"/>
      <c r="HY657" s="91"/>
      <c r="HZ657" s="91"/>
      <c r="IA657" s="91"/>
      <c r="IB657" s="91"/>
      <c r="IC657" s="91"/>
      <c r="ID657" s="91"/>
      <c r="IE657" s="91"/>
    </row>
    <row r="658" spans="2:239" ht="15" x14ac:dyDescent="0.2">
      <c r="B658" s="91"/>
      <c r="C658" s="91"/>
      <c r="D658" s="91"/>
      <c r="E658" s="227"/>
      <c r="F658" s="91"/>
      <c r="G658" s="91"/>
      <c r="H658" s="91"/>
      <c r="I658" s="91"/>
      <c r="J658" s="91"/>
      <c r="K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c r="HV658" s="91"/>
      <c r="HW658" s="91"/>
      <c r="HX658" s="91"/>
      <c r="HY658" s="91"/>
      <c r="HZ658" s="91"/>
      <c r="IA658" s="91"/>
      <c r="IB658" s="91"/>
      <c r="IC658" s="91"/>
      <c r="ID658" s="91"/>
      <c r="IE658" s="91"/>
    </row>
    <row r="659" spans="2:239" ht="15" x14ac:dyDescent="0.2">
      <c r="B659" s="91"/>
      <c r="C659" s="91"/>
      <c r="D659" s="91"/>
      <c r="E659" s="227"/>
      <c r="F659" s="91"/>
      <c r="G659" s="91"/>
      <c r="H659" s="91"/>
      <c r="I659" s="91"/>
      <c r="J659" s="91"/>
      <c r="K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c r="HV659" s="91"/>
      <c r="HW659" s="91"/>
      <c r="HX659" s="91"/>
      <c r="HY659" s="91"/>
      <c r="HZ659" s="91"/>
      <c r="IA659" s="91"/>
      <c r="IB659" s="91"/>
      <c r="IC659" s="91"/>
      <c r="ID659" s="91"/>
      <c r="IE659" s="91"/>
    </row>
    <row r="660" spans="2:239" ht="15" x14ac:dyDescent="0.2">
      <c r="B660" s="91"/>
      <c r="C660" s="91"/>
      <c r="D660" s="91"/>
      <c r="E660" s="227"/>
      <c r="F660" s="91"/>
      <c r="G660" s="91"/>
      <c r="H660" s="91"/>
      <c r="I660" s="91"/>
      <c r="J660" s="91"/>
      <c r="K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c r="HV660" s="91"/>
      <c r="HW660" s="91"/>
      <c r="HX660" s="91"/>
      <c r="HY660" s="91"/>
      <c r="HZ660" s="91"/>
      <c r="IA660" s="91"/>
      <c r="IB660" s="91"/>
      <c r="IC660" s="91"/>
      <c r="ID660" s="91"/>
      <c r="IE660" s="91"/>
    </row>
    <row r="661" spans="2:239" ht="15" x14ac:dyDescent="0.2">
      <c r="B661" s="91"/>
      <c r="C661" s="91"/>
      <c r="D661" s="91"/>
      <c r="E661" s="227"/>
      <c r="F661" s="91"/>
      <c r="G661" s="91"/>
      <c r="H661" s="91"/>
      <c r="I661" s="91"/>
      <c r="J661" s="91"/>
      <c r="K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c r="GU661" s="91"/>
      <c r="GV661" s="91"/>
      <c r="GW661" s="91"/>
      <c r="GX661" s="91"/>
      <c r="GY661" s="91"/>
      <c r="GZ661" s="91"/>
      <c r="HA661" s="91"/>
      <c r="HB661" s="91"/>
      <c r="HC661" s="91"/>
      <c r="HD661" s="91"/>
      <c r="HE661" s="91"/>
      <c r="HF661" s="91"/>
      <c r="HG661" s="91"/>
      <c r="HH661" s="91"/>
      <c r="HI661" s="91"/>
      <c r="HJ661" s="91"/>
      <c r="HK661" s="91"/>
      <c r="HL661" s="91"/>
      <c r="HM661" s="91"/>
      <c r="HN661" s="91"/>
      <c r="HO661" s="91"/>
      <c r="HP661" s="91"/>
      <c r="HQ661" s="91"/>
      <c r="HR661" s="91"/>
      <c r="HS661" s="91"/>
      <c r="HT661" s="91"/>
      <c r="HU661" s="91"/>
      <c r="HV661" s="91"/>
      <c r="HW661" s="91"/>
      <c r="HX661" s="91"/>
      <c r="HY661" s="91"/>
      <c r="HZ661" s="91"/>
      <c r="IA661" s="91"/>
      <c r="IB661" s="91"/>
      <c r="IC661" s="91"/>
      <c r="ID661" s="91"/>
      <c r="IE661" s="91"/>
    </row>
    <row r="662" spans="2:239" ht="15" x14ac:dyDescent="0.2">
      <c r="B662" s="91"/>
      <c r="C662" s="91"/>
      <c r="D662" s="91"/>
      <c r="E662" s="227"/>
      <c r="F662" s="91"/>
      <c r="G662" s="91"/>
      <c r="H662" s="91"/>
      <c r="I662" s="91"/>
      <c r="J662" s="91"/>
      <c r="K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row>
    <row r="663" spans="2:239" ht="15" x14ac:dyDescent="0.2">
      <c r="B663" s="91"/>
      <c r="C663" s="91"/>
      <c r="D663" s="91"/>
      <c r="E663" s="227"/>
      <c r="F663" s="91"/>
      <c r="G663" s="91"/>
      <c r="H663" s="91"/>
      <c r="I663" s="91"/>
      <c r="J663" s="91"/>
      <c r="K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c r="HV663" s="91"/>
      <c r="HW663" s="91"/>
      <c r="HX663" s="91"/>
      <c r="HY663" s="91"/>
      <c r="HZ663" s="91"/>
      <c r="IA663" s="91"/>
      <c r="IB663" s="91"/>
      <c r="IC663" s="91"/>
      <c r="ID663" s="91"/>
      <c r="IE663" s="91"/>
    </row>
    <row r="664" spans="2:239" ht="15" x14ac:dyDescent="0.2">
      <c r="B664" s="91"/>
      <c r="C664" s="91"/>
      <c r="D664" s="91"/>
      <c r="E664" s="227"/>
      <c r="F664" s="91"/>
      <c r="G664" s="91"/>
      <c r="H664" s="91"/>
      <c r="I664" s="91"/>
      <c r="J664" s="91"/>
      <c r="K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c r="HV664" s="91"/>
      <c r="HW664" s="91"/>
      <c r="HX664" s="91"/>
      <c r="HY664" s="91"/>
      <c r="HZ664" s="91"/>
      <c r="IA664" s="91"/>
      <c r="IB664" s="91"/>
      <c r="IC664" s="91"/>
      <c r="ID664" s="91"/>
      <c r="IE664" s="91"/>
    </row>
    <row r="665" spans="2:239" ht="15" x14ac:dyDescent="0.2">
      <c r="B665" s="91"/>
      <c r="C665" s="91"/>
      <c r="D665" s="91"/>
      <c r="E665" s="227"/>
      <c r="F665" s="91"/>
      <c r="G665" s="91"/>
      <c r="H665" s="91"/>
      <c r="I665" s="91"/>
      <c r="J665" s="91"/>
      <c r="K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c r="GU665" s="91"/>
      <c r="GV665" s="91"/>
      <c r="GW665" s="91"/>
      <c r="GX665" s="91"/>
      <c r="GY665" s="91"/>
      <c r="GZ665" s="91"/>
      <c r="HA665" s="91"/>
      <c r="HB665" s="91"/>
      <c r="HC665" s="91"/>
      <c r="HD665" s="91"/>
      <c r="HE665" s="91"/>
      <c r="HF665" s="91"/>
      <c r="HG665" s="91"/>
      <c r="HH665" s="91"/>
      <c r="HI665" s="91"/>
      <c r="HJ665" s="91"/>
      <c r="HK665" s="91"/>
      <c r="HL665" s="91"/>
      <c r="HM665" s="91"/>
      <c r="HN665" s="91"/>
      <c r="HO665" s="91"/>
      <c r="HP665" s="91"/>
      <c r="HQ665" s="91"/>
      <c r="HR665" s="91"/>
      <c r="HS665" s="91"/>
      <c r="HT665" s="91"/>
      <c r="HU665" s="91"/>
      <c r="HV665" s="91"/>
      <c r="HW665" s="91"/>
      <c r="HX665" s="91"/>
      <c r="HY665" s="91"/>
      <c r="HZ665" s="91"/>
      <c r="IA665" s="91"/>
      <c r="IB665" s="91"/>
      <c r="IC665" s="91"/>
      <c r="ID665" s="91"/>
      <c r="IE665" s="91"/>
    </row>
    <row r="666" spans="2:239" ht="15" x14ac:dyDescent="0.2">
      <c r="B666" s="91"/>
      <c r="C666" s="91"/>
      <c r="D666" s="91"/>
      <c r="E666" s="227"/>
      <c r="F666" s="91"/>
      <c r="G666" s="91"/>
      <c r="H666" s="91"/>
      <c r="I666" s="91"/>
      <c r="J666" s="91"/>
      <c r="K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c r="HV666" s="91"/>
      <c r="HW666" s="91"/>
      <c r="HX666" s="91"/>
      <c r="HY666" s="91"/>
      <c r="HZ666" s="91"/>
      <c r="IA666" s="91"/>
      <c r="IB666" s="91"/>
      <c r="IC666" s="91"/>
      <c r="ID666" s="91"/>
      <c r="IE666" s="91"/>
    </row>
    <row r="667" spans="2:239" ht="15" x14ac:dyDescent="0.2">
      <c r="B667" s="91"/>
      <c r="C667" s="91"/>
      <c r="D667" s="91"/>
      <c r="E667" s="227"/>
      <c r="F667" s="91"/>
      <c r="G667" s="91"/>
      <c r="H667" s="91"/>
      <c r="I667" s="91"/>
      <c r="J667" s="91"/>
      <c r="K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c r="GU667" s="91"/>
      <c r="GV667" s="91"/>
      <c r="GW667" s="91"/>
      <c r="GX667" s="91"/>
      <c r="GY667" s="91"/>
      <c r="GZ667" s="91"/>
      <c r="HA667" s="91"/>
      <c r="HB667" s="91"/>
      <c r="HC667" s="91"/>
      <c r="HD667" s="91"/>
      <c r="HE667" s="91"/>
      <c r="HF667" s="91"/>
      <c r="HG667" s="91"/>
      <c r="HH667" s="91"/>
      <c r="HI667" s="91"/>
      <c r="HJ667" s="91"/>
      <c r="HK667" s="91"/>
      <c r="HL667" s="91"/>
      <c r="HM667" s="91"/>
      <c r="HN667" s="91"/>
      <c r="HO667" s="91"/>
      <c r="HP667" s="91"/>
      <c r="HQ667" s="91"/>
      <c r="HR667" s="91"/>
      <c r="HS667" s="91"/>
      <c r="HT667" s="91"/>
      <c r="HU667" s="91"/>
      <c r="HV667" s="91"/>
      <c r="HW667" s="91"/>
      <c r="HX667" s="91"/>
      <c r="HY667" s="91"/>
      <c r="HZ667" s="91"/>
      <c r="IA667" s="91"/>
      <c r="IB667" s="91"/>
      <c r="IC667" s="91"/>
      <c r="ID667" s="91"/>
      <c r="IE667" s="91"/>
    </row>
    <row r="668" spans="2:239" ht="15" x14ac:dyDescent="0.2">
      <c r="B668" s="91"/>
      <c r="C668" s="91"/>
      <c r="D668" s="91"/>
      <c r="E668" s="227"/>
      <c r="F668" s="91"/>
      <c r="G668" s="91"/>
      <c r="H668" s="91"/>
      <c r="I668" s="91"/>
      <c r="J668" s="91"/>
      <c r="K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c r="HV668" s="91"/>
      <c r="HW668" s="91"/>
      <c r="HX668" s="91"/>
      <c r="HY668" s="91"/>
      <c r="HZ668" s="91"/>
      <c r="IA668" s="91"/>
      <c r="IB668" s="91"/>
      <c r="IC668" s="91"/>
      <c r="ID668" s="91"/>
      <c r="IE668" s="91"/>
    </row>
    <row r="669" spans="2:239" ht="15" x14ac:dyDescent="0.2">
      <c r="B669" s="91"/>
      <c r="C669" s="91"/>
      <c r="D669" s="91"/>
      <c r="E669" s="227"/>
      <c r="F669" s="91"/>
      <c r="G669" s="91"/>
      <c r="H669" s="91"/>
      <c r="I669" s="91"/>
      <c r="J669" s="91"/>
      <c r="K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c r="GU669" s="91"/>
      <c r="GV669" s="91"/>
      <c r="GW669" s="91"/>
      <c r="GX669" s="91"/>
      <c r="GY669" s="91"/>
      <c r="GZ669" s="91"/>
      <c r="HA669" s="91"/>
      <c r="HB669" s="91"/>
      <c r="HC669" s="91"/>
      <c r="HD669" s="91"/>
      <c r="HE669" s="91"/>
      <c r="HF669" s="91"/>
      <c r="HG669" s="91"/>
      <c r="HH669" s="91"/>
      <c r="HI669" s="91"/>
      <c r="HJ669" s="91"/>
      <c r="HK669" s="91"/>
      <c r="HL669" s="91"/>
      <c r="HM669" s="91"/>
      <c r="HN669" s="91"/>
      <c r="HO669" s="91"/>
      <c r="HP669" s="91"/>
      <c r="HQ669" s="91"/>
      <c r="HR669" s="91"/>
      <c r="HS669" s="91"/>
      <c r="HT669" s="91"/>
      <c r="HU669" s="91"/>
      <c r="HV669" s="91"/>
      <c r="HW669" s="91"/>
      <c r="HX669" s="91"/>
      <c r="HY669" s="91"/>
      <c r="HZ669" s="91"/>
      <c r="IA669" s="91"/>
      <c r="IB669" s="91"/>
      <c r="IC669" s="91"/>
      <c r="ID669" s="91"/>
      <c r="IE669" s="91"/>
    </row>
    <row r="670" spans="2:239" ht="15" x14ac:dyDescent="0.2">
      <c r="B670" s="91"/>
      <c r="C670" s="91"/>
      <c r="D670" s="91"/>
      <c r="E670" s="227"/>
      <c r="F670" s="91"/>
      <c r="G670" s="91"/>
      <c r="H670" s="91"/>
      <c r="I670" s="91"/>
      <c r="J670" s="91"/>
      <c r="K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c r="HV670" s="91"/>
      <c r="HW670" s="91"/>
      <c r="HX670" s="91"/>
      <c r="HY670" s="91"/>
      <c r="HZ670" s="91"/>
      <c r="IA670" s="91"/>
      <c r="IB670" s="91"/>
      <c r="IC670" s="91"/>
      <c r="ID670" s="91"/>
      <c r="IE670" s="91"/>
    </row>
    <row r="671" spans="2:239" ht="15" x14ac:dyDescent="0.2">
      <c r="B671" s="91"/>
      <c r="C671" s="91"/>
      <c r="D671" s="91"/>
      <c r="E671" s="227"/>
      <c r="F671" s="91"/>
      <c r="G671" s="91"/>
      <c r="H671" s="91"/>
      <c r="I671" s="91"/>
      <c r="J671" s="91"/>
      <c r="K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c r="HV671" s="91"/>
      <c r="HW671" s="91"/>
      <c r="HX671" s="91"/>
      <c r="HY671" s="91"/>
      <c r="HZ671" s="91"/>
      <c r="IA671" s="91"/>
      <c r="IB671" s="91"/>
      <c r="IC671" s="91"/>
      <c r="ID671" s="91"/>
      <c r="IE671" s="91"/>
    </row>
    <row r="672" spans="2:239" ht="15" x14ac:dyDescent="0.2">
      <c r="B672" s="91"/>
      <c r="C672" s="91"/>
      <c r="D672" s="91"/>
      <c r="E672" s="227"/>
      <c r="F672" s="91"/>
      <c r="G672" s="91"/>
      <c r="H672" s="91"/>
      <c r="I672" s="91"/>
      <c r="J672" s="91"/>
      <c r="K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c r="HV672" s="91"/>
      <c r="HW672" s="91"/>
      <c r="HX672" s="91"/>
      <c r="HY672" s="91"/>
      <c r="HZ672" s="91"/>
      <c r="IA672" s="91"/>
      <c r="IB672" s="91"/>
      <c r="IC672" s="91"/>
      <c r="ID672" s="91"/>
      <c r="IE672" s="91"/>
    </row>
    <row r="673" spans="2:239" ht="15" x14ac:dyDescent="0.2">
      <c r="B673" s="91"/>
      <c r="C673" s="91"/>
      <c r="D673" s="91"/>
      <c r="E673" s="227"/>
      <c r="F673" s="91"/>
      <c r="G673" s="91"/>
      <c r="H673" s="91"/>
      <c r="I673" s="91"/>
      <c r="J673" s="91"/>
      <c r="K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c r="GU673" s="91"/>
      <c r="GV673" s="91"/>
      <c r="GW673" s="91"/>
      <c r="GX673" s="91"/>
      <c r="GY673" s="91"/>
      <c r="GZ673" s="91"/>
      <c r="HA673" s="91"/>
      <c r="HB673" s="91"/>
      <c r="HC673" s="91"/>
      <c r="HD673" s="91"/>
      <c r="HE673" s="91"/>
      <c r="HF673" s="91"/>
      <c r="HG673" s="91"/>
      <c r="HH673" s="91"/>
      <c r="HI673" s="91"/>
      <c r="HJ673" s="91"/>
      <c r="HK673" s="91"/>
      <c r="HL673" s="91"/>
      <c r="HM673" s="91"/>
      <c r="HN673" s="91"/>
      <c r="HO673" s="91"/>
      <c r="HP673" s="91"/>
      <c r="HQ673" s="91"/>
      <c r="HR673" s="91"/>
      <c r="HS673" s="91"/>
      <c r="HT673" s="91"/>
      <c r="HU673" s="91"/>
      <c r="HV673" s="91"/>
      <c r="HW673" s="91"/>
      <c r="HX673" s="91"/>
      <c r="HY673" s="91"/>
      <c r="HZ673" s="91"/>
      <c r="IA673" s="91"/>
      <c r="IB673" s="91"/>
      <c r="IC673" s="91"/>
      <c r="ID673" s="91"/>
      <c r="IE673" s="91"/>
    </row>
    <row r="674" spans="2:239" ht="15" x14ac:dyDescent="0.2">
      <c r="B674" s="91"/>
      <c r="C674" s="91"/>
      <c r="D674" s="91"/>
      <c r="E674" s="227"/>
      <c r="F674" s="91"/>
      <c r="G674" s="91"/>
      <c r="H674" s="91"/>
      <c r="I674" s="91"/>
      <c r="J674" s="91"/>
      <c r="K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c r="HV674" s="91"/>
      <c r="HW674" s="91"/>
      <c r="HX674" s="91"/>
      <c r="HY674" s="91"/>
      <c r="HZ674" s="91"/>
      <c r="IA674" s="91"/>
      <c r="IB674" s="91"/>
      <c r="IC674" s="91"/>
      <c r="ID674" s="91"/>
      <c r="IE674" s="91"/>
    </row>
    <row r="675" spans="2:239" ht="15" x14ac:dyDescent="0.2">
      <c r="B675" s="91"/>
      <c r="C675" s="91"/>
      <c r="D675" s="91"/>
      <c r="E675" s="227"/>
      <c r="F675" s="91"/>
      <c r="G675" s="91"/>
      <c r="H675" s="91"/>
      <c r="I675" s="91"/>
      <c r="J675" s="91"/>
      <c r="K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c r="GU675" s="91"/>
      <c r="GV675" s="91"/>
      <c r="GW675" s="91"/>
      <c r="GX675" s="91"/>
      <c r="GY675" s="91"/>
      <c r="GZ675" s="91"/>
      <c r="HA675" s="91"/>
      <c r="HB675" s="91"/>
      <c r="HC675" s="91"/>
      <c r="HD675" s="91"/>
      <c r="HE675" s="91"/>
      <c r="HF675" s="91"/>
      <c r="HG675" s="91"/>
      <c r="HH675" s="91"/>
      <c r="HI675" s="91"/>
      <c r="HJ675" s="91"/>
      <c r="HK675" s="91"/>
      <c r="HL675" s="91"/>
      <c r="HM675" s="91"/>
      <c r="HN675" s="91"/>
      <c r="HO675" s="91"/>
      <c r="HP675" s="91"/>
      <c r="HQ675" s="91"/>
      <c r="HR675" s="91"/>
      <c r="HS675" s="91"/>
      <c r="HT675" s="91"/>
      <c r="HU675" s="91"/>
      <c r="HV675" s="91"/>
      <c r="HW675" s="91"/>
      <c r="HX675" s="91"/>
      <c r="HY675" s="91"/>
      <c r="HZ675" s="91"/>
      <c r="IA675" s="91"/>
      <c r="IB675" s="91"/>
      <c r="IC675" s="91"/>
      <c r="ID675" s="91"/>
      <c r="IE675" s="91"/>
    </row>
    <row r="676" spans="2:239" ht="15" x14ac:dyDescent="0.2">
      <c r="B676" s="91"/>
      <c r="C676" s="91"/>
      <c r="D676" s="91"/>
      <c r="E676" s="227"/>
      <c r="F676" s="91"/>
      <c r="G676" s="91"/>
      <c r="H676" s="91"/>
      <c r="I676" s="91"/>
      <c r="J676" s="91"/>
      <c r="K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c r="HV676" s="91"/>
      <c r="HW676" s="91"/>
      <c r="HX676" s="91"/>
      <c r="HY676" s="91"/>
      <c r="HZ676" s="91"/>
      <c r="IA676" s="91"/>
      <c r="IB676" s="91"/>
      <c r="IC676" s="91"/>
      <c r="ID676" s="91"/>
      <c r="IE676" s="91"/>
    </row>
    <row r="677" spans="2:239" ht="15" x14ac:dyDescent="0.2">
      <c r="B677" s="91"/>
      <c r="C677" s="91"/>
      <c r="D677" s="91"/>
      <c r="E677" s="227"/>
      <c r="F677" s="91"/>
      <c r="G677" s="91"/>
      <c r="H677" s="91"/>
      <c r="I677" s="91"/>
      <c r="J677" s="91"/>
      <c r="K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c r="GU677" s="91"/>
      <c r="GV677" s="91"/>
      <c r="GW677" s="91"/>
      <c r="GX677" s="91"/>
      <c r="GY677" s="91"/>
      <c r="GZ677" s="91"/>
      <c r="HA677" s="91"/>
      <c r="HB677" s="91"/>
      <c r="HC677" s="91"/>
      <c r="HD677" s="91"/>
      <c r="HE677" s="91"/>
      <c r="HF677" s="91"/>
      <c r="HG677" s="91"/>
      <c r="HH677" s="91"/>
      <c r="HI677" s="91"/>
      <c r="HJ677" s="91"/>
      <c r="HK677" s="91"/>
      <c r="HL677" s="91"/>
      <c r="HM677" s="91"/>
      <c r="HN677" s="91"/>
      <c r="HO677" s="91"/>
      <c r="HP677" s="91"/>
      <c r="HQ677" s="91"/>
      <c r="HR677" s="91"/>
      <c r="HS677" s="91"/>
      <c r="HT677" s="91"/>
      <c r="HU677" s="91"/>
      <c r="HV677" s="91"/>
      <c r="HW677" s="91"/>
      <c r="HX677" s="91"/>
      <c r="HY677" s="91"/>
      <c r="HZ677" s="91"/>
      <c r="IA677" s="91"/>
      <c r="IB677" s="91"/>
      <c r="IC677" s="91"/>
      <c r="ID677" s="91"/>
      <c r="IE677" s="91"/>
    </row>
    <row r="678" spans="2:239" ht="15" x14ac:dyDescent="0.2">
      <c r="B678" s="91"/>
      <c r="C678" s="91"/>
      <c r="D678" s="91"/>
      <c r="E678" s="227"/>
      <c r="F678" s="91"/>
      <c r="G678" s="91"/>
      <c r="H678" s="91"/>
      <c r="I678" s="91"/>
      <c r="J678" s="91"/>
      <c r="K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c r="HV678" s="91"/>
      <c r="HW678" s="91"/>
      <c r="HX678" s="91"/>
      <c r="HY678" s="91"/>
      <c r="HZ678" s="91"/>
      <c r="IA678" s="91"/>
      <c r="IB678" s="91"/>
      <c r="IC678" s="91"/>
      <c r="ID678" s="91"/>
      <c r="IE678" s="91"/>
    </row>
    <row r="679" spans="2:239" ht="15" x14ac:dyDescent="0.2">
      <c r="B679" s="91"/>
      <c r="C679" s="91"/>
      <c r="D679" s="91"/>
      <c r="E679" s="227"/>
      <c r="F679" s="91"/>
      <c r="G679" s="91"/>
      <c r="H679" s="91"/>
      <c r="I679" s="91"/>
      <c r="J679" s="91"/>
      <c r="K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c r="GU679" s="91"/>
      <c r="GV679" s="91"/>
      <c r="GW679" s="91"/>
      <c r="GX679" s="91"/>
      <c r="GY679" s="91"/>
      <c r="GZ679" s="91"/>
      <c r="HA679" s="91"/>
      <c r="HB679" s="91"/>
      <c r="HC679" s="91"/>
      <c r="HD679" s="91"/>
      <c r="HE679" s="91"/>
      <c r="HF679" s="91"/>
      <c r="HG679" s="91"/>
      <c r="HH679" s="91"/>
      <c r="HI679" s="91"/>
      <c r="HJ679" s="91"/>
      <c r="HK679" s="91"/>
      <c r="HL679" s="91"/>
      <c r="HM679" s="91"/>
      <c r="HN679" s="91"/>
      <c r="HO679" s="91"/>
      <c r="HP679" s="91"/>
      <c r="HQ679" s="91"/>
      <c r="HR679" s="91"/>
      <c r="HS679" s="91"/>
      <c r="HT679" s="91"/>
      <c r="HU679" s="91"/>
      <c r="HV679" s="91"/>
      <c r="HW679" s="91"/>
      <c r="HX679" s="91"/>
      <c r="HY679" s="91"/>
      <c r="HZ679" s="91"/>
      <c r="IA679" s="91"/>
      <c r="IB679" s="91"/>
      <c r="IC679" s="91"/>
      <c r="ID679" s="91"/>
      <c r="IE679" s="91"/>
    </row>
    <row r="680" spans="2:239" ht="15" x14ac:dyDescent="0.2">
      <c r="B680" s="91"/>
      <c r="C680" s="91"/>
      <c r="D680" s="91"/>
      <c r="E680" s="227"/>
      <c r="F680" s="91"/>
      <c r="G680" s="91"/>
      <c r="H680" s="91"/>
      <c r="I680" s="91"/>
      <c r="J680" s="91"/>
      <c r="K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c r="HV680" s="91"/>
      <c r="HW680" s="91"/>
      <c r="HX680" s="91"/>
      <c r="HY680" s="91"/>
      <c r="HZ680" s="91"/>
      <c r="IA680" s="91"/>
      <c r="IB680" s="91"/>
      <c r="IC680" s="91"/>
      <c r="ID680" s="91"/>
      <c r="IE680" s="91"/>
    </row>
    <row r="681" spans="2:239" ht="15" x14ac:dyDescent="0.2">
      <c r="B681" s="91"/>
      <c r="C681" s="91"/>
      <c r="D681" s="91"/>
      <c r="E681" s="227"/>
      <c r="F681" s="91"/>
      <c r="G681" s="91"/>
      <c r="H681" s="91"/>
      <c r="I681" s="91"/>
      <c r="J681" s="91"/>
      <c r="K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c r="GU681" s="91"/>
      <c r="GV681" s="91"/>
      <c r="GW681" s="91"/>
      <c r="GX681" s="91"/>
      <c r="GY681" s="91"/>
      <c r="GZ681" s="91"/>
      <c r="HA681" s="91"/>
      <c r="HB681" s="91"/>
      <c r="HC681" s="91"/>
      <c r="HD681" s="91"/>
      <c r="HE681" s="91"/>
      <c r="HF681" s="91"/>
      <c r="HG681" s="91"/>
      <c r="HH681" s="91"/>
      <c r="HI681" s="91"/>
      <c r="HJ681" s="91"/>
      <c r="HK681" s="91"/>
      <c r="HL681" s="91"/>
      <c r="HM681" s="91"/>
      <c r="HN681" s="91"/>
      <c r="HO681" s="91"/>
      <c r="HP681" s="91"/>
      <c r="HQ681" s="91"/>
      <c r="HR681" s="91"/>
      <c r="HS681" s="91"/>
      <c r="HT681" s="91"/>
      <c r="HU681" s="91"/>
      <c r="HV681" s="91"/>
      <c r="HW681" s="91"/>
      <c r="HX681" s="91"/>
      <c r="HY681" s="91"/>
      <c r="HZ681" s="91"/>
      <c r="IA681" s="91"/>
      <c r="IB681" s="91"/>
      <c r="IC681" s="91"/>
      <c r="ID681" s="91"/>
      <c r="IE681" s="91"/>
    </row>
    <row r="682" spans="2:239" ht="15" x14ac:dyDescent="0.2">
      <c r="B682" s="91"/>
      <c r="C682" s="91"/>
      <c r="D682" s="91"/>
      <c r="E682" s="227"/>
      <c r="F682" s="91"/>
      <c r="G682" s="91"/>
      <c r="H682" s="91"/>
      <c r="I682" s="91"/>
      <c r="J682" s="91"/>
      <c r="K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c r="HV682" s="91"/>
      <c r="HW682" s="91"/>
      <c r="HX682" s="91"/>
      <c r="HY682" s="91"/>
      <c r="HZ682" s="91"/>
      <c r="IA682" s="91"/>
      <c r="IB682" s="91"/>
      <c r="IC682" s="91"/>
      <c r="ID682" s="91"/>
      <c r="IE682" s="91"/>
    </row>
    <row r="683" spans="2:239" ht="15" x14ac:dyDescent="0.2">
      <c r="B683" s="91"/>
      <c r="C683" s="91"/>
      <c r="D683" s="91"/>
      <c r="E683" s="227"/>
      <c r="F683" s="91"/>
      <c r="G683" s="91"/>
      <c r="H683" s="91"/>
      <c r="I683" s="91"/>
      <c r="J683" s="91"/>
      <c r="K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c r="GU683" s="91"/>
      <c r="GV683" s="91"/>
      <c r="GW683" s="91"/>
      <c r="GX683" s="91"/>
      <c r="GY683" s="91"/>
      <c r="GZ683" s="91"/>
      <c r="HA683" s="91"/>
      <c r="HB683" s="91"/>
      <c r="HC683" s="91"/>
      <c r="HD683" s="91"/>
      <c r="HE683" s="91"/>
      <c r="HF683" s="91"/>
      <c r="HG683" s="91"/>
      <c r="HH683" s="91"/>
      <c r="HI683" s="91"/>
      <c r="HJ683" s="91"/>
      <c r="HK683" s="91"/>
      <c r="HL683" s="91"/>
      <c r="HM683" s="91"/>
      <c r="HN683" s="91"/>
      <c r="HO683" s="91"/>
      <c r="HP683" s="91"/>
      <c r="HQ683" s="91"/>
      <c r="HR683" s="91"/>
      <c r="HS683" s="91"/>
      <c r="HT683" s="91"/>
      <c r="HU683" s="91"/>
      <c r="HV683" s="91"/>
      <c r="HW683" s="91"/>
      <c r="HX683" s="91"/>
      <c r="HY683" s="91"/>
      <c r="HZ683" s="91"/>
      <c r="IA683" s="91"/>
      <c r="IB683" s="91"/>
      <c r="IC683" s="91"/>
      <c r="ID683" s="91"/>
      <c r="IE683" s="91"/>
    </row>
    <row r="684" spans="2:239" ht="15" x14ac:dyDescent="0.2">
      <c r="B684" s="91"/>
      <c r="C684" s="91"/>
      <c r="D684" s="91"/>
      <c r="E684" s="227"/>
      <c r="F684" s="91"/>
      <c r="G684" s="91"/>
      <c r="H684" s="91"/>
      <c r="I684" s="91"/>
      <c r="J684" s="91"/>
      <c r="K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c r="HV684" s="91"/>
      <c r="HW684" s="91"/>
      <c r="HX684" s="91"/>
      <c r="HY684" s="91"/>
      <c r="HZ684" s="91"/>
      <c r="IA684" s="91"/>
      <c r="IB684" s="91"/>
      <c r="IC684" s="91"/>
      <c r="ID684" s="91"/>
      <c r="IE684" s="91"/>
    </row>
    <row r="685" spans="2:239" ht="15" x14ac:dyDescent="0.2">
      <c r="B685" s="91"/>
      <c r="C685" s="91"/>
      <c r="D685" s="91"/>
      <c r="E685" s="227"/>
      <c r="F685" s="91"/>
      <c r="G685" s="91"/>
      <c r="H685" s="91"/>
      <c r="I685" s="91"/>
      <c r="J685" s="91"/>
      <c r="K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c r="HV685" s="91"/>
      <c r="HW685" s="91"/>
      <c r="HX685" s="91"/>
      <c r="HY685" s="91"/>
      <c r="HZ685" s="91"/>
      <c r="IA685" s="91"/>
      <c r="IB685" s="91"/>
      <c r="IC685" s="91"/>
      <c r="ID685" s="91"/>
      <c r="IE685" s="91"/>
    </row>
    <row r="686" spans="2:239" ht="15" x14ac:dyDescent="0.2">
      <c r="B686" s="91"/>
      <c r="C686" s="91"/>
      <c r="D686" s="91"/>
      <c r="E686" s="227"/>
      <c r="F686" s="91"/>
      <c r="G686" s="91"/>
      <c r="H686" s="91"/>
      <c r="I686" s="91"/>
      <c r="J686" s="91"/>
      <c r="K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row>
    <row r="687" spans="2:239" ht="15" x14ac:dyDescent="0.2">
      <c r="B687" s="91"/>
      <c r="C687" s="91"/>
      <c r="D687" s="91"/>
      <c r="E687" s="227"/>
      <c r="F687" s="91"/>
      <c r="G687" s="91"/>
      <c r="H687" s="91"/>
      <c r="I687" s="91"/>
      <c r="J687" s="91"/>
      <c r="K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c r="HV687" s="91"/>
      <c r="HW687" s="91"/>
      <c r="HX687" s="91"/>
      <c r="HY687" s="91"/>
      <c r="HZ687" s="91"/>
      <c r="IA687" s="91"/>
      <c r="IB687" s="91"/>
      <c r="IC687" s="91"/>
      <c r="ID687" s="91"/>
      <c r="IE687" s="91"/>
    </row>
    <row r="688" spans="2:239" ht="15" x14ac:dyDescent="0.2">
      <c r="B688" s="91"/>
      <c r="C688" s="91"/>
      <c r="D688" s="91"/>
      <c r="E688" s="227"/>
      <c r="F688" s="91"/>
      <c r="G688" s="91"/>
      <c r="H688" s="91"/>
      <c r="I688" s="91"/>
      <c r="J688" s="91"/>
      <c r="K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row>
    <row r="689" spans="2:239" ht="15" x14ac:dyDescent="0.2">
      <c r="B689" s="91"/>
      <c r="C689" s="91"/>
      <c r="D689" s="91"/>
      <c r="E689" s="227"/>
      <c r="F689" s="91"/>
      <c r="G689" s="91"/>
      <c r="H689" s="91"/>
      <c r="I689" s="91"/>
      <c r="J689" s="91"/>
      <c r="K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c r="HV689" s="91"/>
      <c r="HW689" s="91"/>
      <c r="HX689" s="91"/>
      <c r="HY689" s="91"/>
      <c r="HZ689" s="91"/>
      <c r="IA689" s="91"/>
      <c r="IB689" s="91"/>
      <c r="IC689" s="91"/>
      <c r="ID689" s="91"/>
      <c r="IE689" s="91"/>
    </row>
    <row r="690" spans="2:239" ht="15" x14ac:dyDescent="0.2">
      <c r="B690" s="91"/>
      <c r="C690" s="91"/>
      <c r="D690" s="91"/>
      <c r="E690" s="227"/>
      <c r="F690" s="91"/>
      <c r="G690" s="91"/>
      <c r="H690" s="91"/>
      <c r="I690" s="91"/>
      <c r="J690" s="91"/>
      <c r="K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row>
    <row r="691" spans="2:239" ht="15" x14ac:dyDescent="0.2">
      <c r="B691" s="91"/>
      <c r="C691" s="91"/>
      <c r="D691" s="91"/>
      <c r="E691" s="227"/>
      <c r="F691" s="91"/>
      <c r="G691" s="91"/>
      <c r="H691" s="91"/>
      <c r="I691" s="91"/>
      <c r="J691" s="91"/>
      <c r="K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c r="HV691" s="91"/>
      <c r="HW691" s="91"/>
      <c r="HX691" s="91"/>
      <c r="HY691" s="91"/>
      <c r="HZ691" s="91"/>
      <c r="IA691" s="91"/>
      <c r="IB691" s="91"/>
      <c r="IC691" s="91"/>
      <c r="ID691" s="91"/>
      <c r="IE691" s="91"/>
    </row>
    <row r="692" spans="2:239" ht="15" x14ac:dyDescent="0.2">
      <c r="B692" s="91"/>
      <c r="C692" s="91"/>
      <c r="D692" s="91"/>
      <c r="E692" s="227"/>
      <c r="F692" s="91"/>
      <c r="G692" s="91"/>
      <c r="H692" s="91"/>
      <c r="I692" s="91"/>
      <c r="J692" s="91"/>
      <c r="K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row>
    <row r="693" spans="2:239" ht="15" x14ac:dyDescent="0.2">
      <c r="B693" s="91"/>
      <c r="C693" s="91"/>
      <c r="D693" s="91"/>
      <c r="E693" s="227"/>
      <c r="F693" s="91"/>
      <c r="G693" s="91"/>
      <c r="H693" s="91"/>
      <c r="I693" s="91"/>
      <c r="J693" s="91"/>
      <c r="K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c r="GU693" s="91"/>
      <c r="GV693" s="91"/>
      <c r="GW693" s="91"/>
      <c r="GX693" s="91"/>
      <c r="GY693" s="91"/>
      <c r="GZ693" s="91"/>
      <c r="HA693" s="91"/>
      <c r="HB693" s="91"/>
      <c r="HC693" s="91"/>
      <c r="HD693" s="91"/>
      <c r="HE693" s="91"/>
      <c r="HF693" s="91"/>
      <c r="HG693" s="91"/>
      <c r="HH693" s="91"/>
      <c r="HI693" s="91"/>
      <c r="HJ693" s="91"/>
      <c r="HK693" s="91"/>
      <c r="HL693" s="91"/>
      <c r="HM693" s="91"/>
      <c r="HN693" s="91"/>
      <c r="HO693" s="91"/>
      <c r="HP693" s="91"/>
      <c r="HQ693" s="91"/>
      <c r="HR693" s="91"/>
      <c r="HS693" s="91"/>
      <c r="HT693" s="91"/>
      <c r="HU693" s="91"/>
      <c r="HV693" s="91"/>
      <c r="HW693" s="91"/>
      <c r="HX693" s="91"/>
      <c r="HY693" s="91"/>
      <c r="HZ693" s="91"/>
      <c r="IA693" s="91"/>
      <c r="IB693" s="91"/>
      <c r="IC693" s="91"/>
      <c r="ID693" s="91"/>
      <c r="IE693" s="91"/>
    </row>
    <row r="694" spans="2:239" ht="15" x14ac:dyDescent="0.2">
      <c r="B694" s="91"/>
      <c r="C694" s="91"/>
      <c r="D694" s="91"/>
      <c r="E694" s="227"/>
      <c r="F694" s="91"/>
      <c r="G694" s="91"/>
      <c r="H694" s="91"/>
      <c r="I694" s="91"/>
      <c r="J694" s="91"/>
      <c r="K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c r="HV694" s="91"/>
      <c r="HW694" s="91"/>
      <c r="HX694" s="91"/>
      <c r="HY694" s="91"/>
      <c r="HZ694" s="91"/>
      <c r="IA694" s="91"/>
      <c r="IB694" s="91"/>
      <c r="IC694" s="91"/>
      <c r="ID694" s="91"/>
      <c r="IE694" s="91"/>
    </row>
    <row r="695" spans="2:239" ht="15" x14ac:dyDescent="0.2">
      <c r="B695" s="91"/>
      <c r="C695" s="91"/>
      <c r="D695" s="91"/>
      <c r="E695" s="227"/>
      <c r="F695" s="91"/>
      <c r="G695" s="91"/>
      <c r="H695" s="91"/>
      <c r="I695" s="91"/>
      <c r="J695" s="91"/>
      <c r="K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c r="GU695" s="91"/>
      <c r="GV695" s="91"/>
      <c r="GW695" s="91"/>
      <c r="GX695" s="91"/>
      <c r="GY695" s="91"/>
      <c r="GZ695" s="91"/>
      <c r="HA695" s="91"/>
      <c r="HB695" s="91"/>
      <c r="HC695" s="91"/>
      <c r="HD695" s="91"/>
      <c r="HE695" s="91"/>
      <c r="HF695" s="91"/>
      <c r="HG695" s="91"/>
      <c r="HH695" s="91"/>
      <c r="HI695" s="91"/>
      <c r="HJ695" s="91"/>
      <c r="HK695" s="91"/>
      <c r="HL695" s="91"/>
      <c r="HM695" s="91"/>
      <c r="HN695" s="91"/>
      <c r="HO695" s="91"/>
      <c r="HP695" s="91"/>
      <c r="HQ695" s="91"/>
      <c r="HR695" s="91"/>
      <c r="HS695" s="91"/>
      <c r="HT695" s="91"/>
      <c r="HU695" s="91"/>
      <c r="HV695" s="91"/>
      <c r="HW695" s="91"/>
      <c r="HX695" s="91"/>
      <c r="HY695" s="91"/>
      <c r="HZ695" s="91"/>
      <c r="IA695" s="91"/>
      <c r="IB695" s="91"/>
      <c r="IC695" s="91"/>
      <c r="ID695" s="91"/>
      <c r="IE695" s="91"/>
    </row>
    <row r="696" spans="2:239" ht="15" x14ac:dyDescent="0.2">
      <c r="B696" s="91"/>
      <c r="C696" s="91"/>
      <c r="D696" s="91"/>
      <c r="E696" s="227"/>
      <c r="F696" s="91"/>
      <c r="G696" s="91"/>
      <c r="H696" s="91"/>
      <c r="I696" s="91"/>
      <c r="J696" s="91"/>
      <c r="K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c r="HV696" s="91"/>
      <c r="HW696" s="91"/>
      <c r="HX696" s="91"/>
      <c r="HY696" s="91"/>
      <c r="HZ696" s="91"/>
      <c r="IA696" s="91"/>
      <c r="IB696" s="91"/>
      <c r="IC696" s="91"/>
      <c r="ID696" s="91"/>
      <c r="IE696" s="91"/>
    </row>
    <row r="697" spans="2:239" ht="15" x14ac:dyDescent="0.2">
      <c r="B697" s="91"/>
      <c r="C697" s="91"/>
      <c r="D697" s="91"/>
      <c r="E697" s="227"/>
      <c r="F697" s="91"/>
      <c r="G697" s="91"/>
      <c r="H697" s="91"/>
      <c r="I697" s="91"/>
      <c r="J697" s="91"/>
      <c r="K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c r="GU697" s="91"/>
      <c r="GV697" s="91"/>
      <c r="GW697" s="91"/>
      <c r="GX697" s="91"/>
      <c r="GY697" s="91"/>
      <c r="GZ697" s="91"/>
      <c r="HA697" s="91"/>
      <c r="HB697" s="91"/>
      <c r="HC697" s="91"/>
      <c r="HD697" s="91"/>
      <c r="HE697" s="91"/>
      <c r="HF697" s="91"/>
      <c r="HG697" s="91"/>
      <c r="HH697" s="91"/>
      <c r="HI697" s="91"/>
      <c r="HJ697" s="91"/>
      <c r="HK697" s="91"/>
      <c r="HL697" s="91"/>
      <c r="HM697" s="91"/>
      <c r="HN697" s="91"/>
      <c r="HO697" s="91"/>
      <c r="HP697" s="91"/>
      <c r="HQ697" s="91"/>
      <c r="HR697" s="91"/>
      <c r="HS697" s="91"/>
      <c r="HT697" s="91"/>
      <c r="HU697" s="91"/>
      <c r="HV697" s="91"/>
      <c r="HW697" s="91"/>
      <c r="HX697" s="91"/>
      <c r="HY697" s="91"/>
      <c r="HZ697" s="91"/>
      <c r="IA697" s="91"/>
      <c r="IB697" s="91"/>
      <c r="IC697" s="91"/>
      <c r="ID697" s="91"/>
      <c r="IE697" s="91"/>
    </row>
    <row r="698" spans="2:239" ht="15" x14ac:dyDescent="0.2">
      <c r="B698" s="91"/>
      <c r="C698" s="91"/>
      <c r="D698" s="91"/>
      <c r="E698" s="227"/>
      <c r="F698" s="91"/>
      <c r="G698" s="91"/>
      <c r="H698" s="91"/>
      <c r="I698" s="91"/>
      <c r="J698" s="91"/>
      <c r="K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row>
    <row r="699" spans="2:239" ht="15" x14ac:dyDescent="0.2">
      <c r="B699" s="91"/>
      <c r="C699" s="91"/>
      <c r="D699" s="91"/>
      <c r="E699" s="227"/>
      <c r="F699" s="91"/>
      <c r="G699" s="91"/>
      <c r="H699" s="91"/>
      <c r="I699" s="91"/>
      <c r="J699" s="91"/>
      <c r="K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c r="GU699" s="91"/>
      <c r="GV699" s="91"/>
      <c r="GW699" s="91"/>
      <c r="GX699" s="91"/>
      <c r="GY699" s="91"/>
      <c r="GZ699" s="91"/>
      <c r="HA699" s="91"/>
      <c r="HB699" s="91"/>
      <c r="HC699" s="91"/>
      <c r="HD699" s="91"/>
      <c r="HE699" s="91"/>
      <c r="HF699" s="91"/>
      <c r="HG699" s="91"/>
      <c r="HH699" s="91"/>
      <c r="HI699" s="91"/>
      <c r="HJ699" s="91"/>
      <c r="HK699" s="91"/>
      <c r="HL699" s="91"/>
      <c r="HM699" s="91"/>
      <c r="HN699" s="91"/>
      <c r="HO699" s="91"/>
      <c r="HP699" s="91"/>
      <c r="HQ699" s="91"/>
      <c r="HR699" s="91"/>
      <c r="HS699" s="91"/>
      <c r="HT699" s="91"/>
      <c r="HU699" s="91"/>
      <c r="HV699" s="91"/>
      <c r="HW699" s="91"/>
      <c r="HX699" s="91"/>
      <c r="HY699" s="91"/>
      <c r="HZ699" s="91"/>
      <c r="IA699" s="91"/>
      <c r="IB699" s="91"/>
      <c r="IC699" s="91"/>
      <c r="ID699" s="91"/>
      <c r="IE699" s="91"/>
    </row>
    <row r="700" spans="2:239" ht="15" x14ac:dyDescent="0.2">
      <c r="B700" s="91"/>
      <c r="C700" s="91"/>
      <c r="D700" s="91"/>
      <c r="E700" s="227"/>
      <c r="F700" s="91"/>
      <c r="G700" s="91"/>
      <c r="H700" s="91"/>
      <c r="I700" s="91"/>
      <c r="J700" s="91"/>
      <c r="K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c r="HV700" s="91"/>
      <c r="HW700" s="91"/>
      <c r="HX700" s="91"/>
      <c r="HY700" s="91"/>
      <c r="HZ700" s="91"/>
      <c r="IA700" s="91"/>
      <c r="IB700" s="91"/>
      <c r="IC700" s="91"/>
      <c r="ID700" s="91"/>
      <c r="IE700" s="91"/>
    </row>
    <row r="701" spans="2:239" ht="15" x14ac:dyDescent="0.2">
      <c r="B701" s="91"/>
      <c r="C701" s="91"/>
      <c r="D701" s="91"/>
      <c r="E701" s="227"/>
      <c r="F701" s="91"/>
      <c r="G701" s="91"/>
      <c r="H701" s="91"/>
      <c r="I701" s="91"/>
      <c r="J701" s="91"/>
      <c r="K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c r="GU701" s="91"/>
      <c r="GV701" s="91"/>
      <c r="GW701" s="91"/>
      <c r="GX701" s="91"/>
      <c r="GY701" s="91"/>
      <c r="GZ701" s="91"/>
      <c r="HA701" s="91"/>
      <c r="HB701" s="91"/>
      <c r="HC701" s="91"/>
      <c r="HD701" s="91"/>
      <c r="HE701" s="91"/>
      <c r="HF701" s="91"/>
      <c r="HG701" s="91"/>
      <c r="HH701" s="91"/>
      <c r="HI701" s="91"/>
      <c r="HJ701" s="91"/>
      <c r="HK701" s="91"/>
      <c r="HL701" s="91"/>
      <c r="HM701" s="91"/>
      <c r="HN701" s="91"/>
      <c r="HO701" s="91"/>
      <c r="HP701" s="91"/>
      <c r="HQ701" s="91"/>
      <c r="HR701" s="91"/>
      <c r="HS701" s="91"/>
      <c r="HT701" s="91"/>
      <c r="HU701" s="91"/>
      <c r="HV701" s="91"/>
      <c r="HW701" s="91"/>
      <c r="HX701" s="91"/>
      <c r="HY701" s="91"/>
      <c r="HZ701" s="91"/>
      <c r="IA701" s="91"/>
      <c r="IB701" s="91"/>
      <c r="IC701" s="91"/>
      <c r="ID701" s="91"/>
      <c r="IE701" s="91"/>
    </row>
    <row r="702" spans="2:239" ht="15" x14ac:dyDescent="0.2">
      <c r="B702" s="91"/>
      <c r="C702" s="91"/>
      <c r="D702" s="91"/>
      <c r="E702" s="227"/>
      <c r="F702" s="91"/>
      <c r="G702" s="91"/>
      <c r="H702" s="91"/>
      <c r="I702" s="91"/>
      <c r="J702" s="91"/>
      <c r="K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c r="HV702" s="91"/>
      <c r="HW702" s="91"/>
      <c r="HX702" s="91"/>
      <c r="HY702" s="91"/>
      <c r="HZ702" s="91"/>
      <c r="IA702" s="91"/>
      <c r="IB702" s="91"/>
      <c r="IC702" s="91"/>
      <c r="ID702" s="91"/>
      <c r="IE702" s="91"/>
    </row>
    <row r="703" spans="2:239" ht="15" x14ac:dyDescent="0.2">
      <c r="B703" s="91"/>
      <c r="C703" s="91"/>
      <c r="D703" s="91"/>
      <c r="E703" s="227"/>
      <c r="F703" s="91"/>
      <c r="G703" s="91"/>
      <c r="H703" s="91"/>
      <c r="I703" s="91"/>
      <c r="J703" s="91"/>
      <c r="K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c r="GU703" s="91"/>
      <c r="GV703" s="91"/>
      <c r="GW703" s="91"/>
      <c r="GX703" s="91"/>
      <c r="GY703" s="91"/>
      <c r="GZ703" s="91"/>
      <c r="HA703" s="91"/>
      <c r="HB703" s="91"/>
      <c r="HC703" s="91"/>
      <c r="HD703" s="91"/>
      <c r="HE703" s="91"/>
      <c r="HF703" s="91"/>
      <c r="HG703" s="91"/>
      <c r="HH703" s="91"/>
      <c r="HI703" s="91"/>
      <c r="HJ703" s="91"/>
      <c r="HK703" s="91"/>
      <c r="HL703" s="91"/>
      <c r="HM703" s="91"/>
      <c r="HN703" s="91"/>
      <c r="HO703" s="91"/>
      <c r="HP703" s="91"/>
      <c r="HQ703" s="91"/>
      <c r="HR703" s="91"/>
      <c r="HS703" s="91"/>
      <c r="HT703" s="91"/>
      <c r="HU703" s="91"/>
      <c r="HV703" s="91"/>
      <c r="HW703" s="91"/>
      <c r="HX703" s="91"/>
      <c r="HY703" s="91"/>
      <c r="HZ703" s="91"/>
      <c r="IA703" s="91"/>
      <c r="IB703" s="91"/>
      <c r="IC703" s="91"/>
      <c r="ID703" s="91"/>
      <c r="IE703" s="91"/>
    </row>
    <row r="704" spans="2:239" ht="15" x14ac:dyDescent="0.2">
      <c r="B704" s="91"/>
      <c r="C704" s="91"/>
      <c r="D704" s="91"/>
      <c r="E704" s="227"/>
      <c r="F704" s="91"/>
      <c r="G704" s="91"/>
      <c r="H704" s="91"/>
      <c r="I704" s="91"/>
      <c r="J704" s="91"/>
      <c r="K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c r="HV704" s="91"/>
      <c r="HW704" s="91"/>
      <c r="HX704" s="91"/>
      <c r="HY704" s="91"/>
      <c r="HZ704" s="91"/>
      <c r="IA704" s="91"/>
      <c r="IB704" s="91"/>
      <c r="IC704" s="91"/>
      <c r="ID704" s="91"/>
      <c r="IE704" s="91"/>
    </row>
    <row r="705" spans="2:239" ht="15" x14ac:dyDescent="0.2">
      <c r="B705" s="91"/>
      <c r="C705" s="91"/>
      <c r="D705" s="91"/>
      <c r="E705" s="227"/>
      <c r="F705" s="91"/>
      <c r="G705" s="91"/>
      <c r="H705" s="91"/>
      <c r="I705" s="91"/>
      <c r="J705" s="91"/>
      <c r="K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c r="GU705" s="91"/>
      <c r="GV705" s="91"/>
      <c r="GW705" s="91"/>
      <c r="GX705" s="91"/>
      <c r="GY705" s="91"/>
      <c r="GZ705" s="91"/>
      <c r="HA705" s="91"/>
      <c r="HB705" s="91"/>
      <c r="HC705" s="91"/>
      <c r="HD705" s="91"/>
      <c r="HE705" s="91"/>
      <c r="HF705" s="91"/>
      <c r="HG705" s="91"/>
      <c r="HH705" s="91"/>
      <c r="HI705" s="91"/>
      <c r="HJ705" s="91"/>
      <c r="HK705" s="91"/>
      <c r="HL705" s="91"/>
      <c r="HM705" s="91"/>
      <c r="HN705" s="91"/>
      <c r="HO705" s="91"/>
      <c r="HP705" s="91"/>
      <c r="HQ705" s="91"/>
      <c r="HR705" s="91"/>
      <c r="HS705" s="91"/>
      <c r="HT705" s="91"/>
      <c r="HU705" s="91"/>
      <c r="HV705" s="91"/>
      <c r="HW705" s="91"/>
      <c r="HX705" s="91"/>
      <c r="HY705" s="91"/>
      <c r="HZ705" s="91"/>
      <c r="IA705" s="91"/>
      <c r="IB705" s="91"/>
      <c r="IC705" s="91"/>
      <c r="ID705" s="91"/>
      <c r="IE705" s="91"/>
    </row>
    <row r="706" spans="2:239" ht="15" x14ac:dyDescent="0.2">
      <c r="B706" s="91"/>
      <c r="C706" s="91"/>
      <c r="D706" s="91"/>
      <c r="E706" s="227"/>
      <c r="F706" s="91"/>
      <c r="G706" s="91"/>
      <c r="H706" s="91"/>
      <c r="I706" s="91"/>
      <c r="J706" s="91"/>
      <c r="K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c r="HV706" s="91"/>
      <c r="HW706" s="91"/>
      <c r="HX706" s="91"/>
      <c r="HY706" s="91"/>
      <c r="HZ706" s="91"/>
      <c r="IA706" s="91"/>
      <c r="IB706" s="91"/>
      <c r="IC706" s="91"/>
      <c r="ID706" s="91"/>
      <c r="IE706" s="91"/>
    </row>
    <row r="707" spans="2:239" ht="15" x14ac:dyDescent="0.2">
      <c r="B707" s="91"/>
      <c r="C707" s="91"/>
      <c r="D707" s="91"/>
      <c r="E707" s="227"/>
      <c r="F707" s="91"/>
      <c r="G707" s="91"/>
      <c r="H707" s="91"/>
      <c r="I707" s="91"/>
      <c r="J707" s="91"/>
      <c r="K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c r="GU707" s="91"/>
      <c r="GV707" s="91"/>
      <c r="GW707" s="91"/>
      <c r="GX707" s="91"/>
      <c r="GY707" s="91"/>
      <c r="GZ707" s="91"/>
      <c r="HA707" s="91"/>
      <c r="HB707" s="91"/>
      <c r="HC707" s="91"/>
      <c r="HD707" s="91"/>
      <c r="HE707" s="91"/>
      <c r="HF707" s="91"/>
      <c r="HG707" s="91"/>
      <c r="HH707" s="91"/>
      <c r="HI707" s="91"/>
      <c r="HJ707" s="91"/>
      <c r="HK707" s="91"/>
      <c r="HL707" s="91"/>
      <c r="HM707" s="91"/>
      <c r="HN707" s="91"/>
      <c r="HO707" s="91"/>
      <c r="HP707" s="91"/>
      <c r="HQ707" s="91"/>
      <c r="HR707" s="91"/>
      <c r="HS707" s="91"/>
      <c r="HT707" s="91"/>
      <c r="HU707" s="91"/>
      <c r="HV707" s="91"/>
      <c r="HW707" s="91"/>
      <c r="HX707" s="91"/>
      <c r="HY707" s="91"/>
      <c r="HZ707" s="91"/>
      <c r="IA707" s="91"/>
      <c r="IB707" s="91"/>
      <c r="IC707" s="91"/>
      <c r="ID707" s="91"/>
      <c r="IE707" s="91"/>
    </row>
    <row r="708" spans="2:239" ht="15" x14ac:dyDescent="0.2">
      <c r="B708" s="91"/>
      <c r="C708" s="91"/>
      <c r="D708" s="91"/>
      <c r="E708" s="227"/>
      <c r="F708" s="91"/>
      <c r="G708" s="91"/>
      <c r="H708" s="91"/>
      <c r="I708" s="91"/>
      <c r="J708" s="91"/>
      <c r="K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c r="HV708" s="91"/>
      <c r="HW708" s="91"/>
      <c r="HX708" s="91"/>
      <c r="HY708" s="91"/>
      <c r="HZ708" s="91"/>
      <c r="IA708" s="91"/>
      <c r="IB708" s="91"/>
      <c r="IC708" s="91"/>
      <c r="ID708" s="91"/>
      <c r="IE708" s="91"/>
    </row>
    <row r="709" spans="2:239" ht="15" x14ac:dyDescent="0.2">
      <c r="B709" s="91"/>
      <c r="C709" s="91"/>
      <c r="D709" s="91"/>
      <c r="E709" s="227"/>
      <c r="F709" s="91"/>
      <c r="G709" s="91"/>
      <c r="H709" s="91"/>
      <c r="I709" s="91"/>
      <c r="J709" s="91"/>
      <c r="K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c r="GU709" s="91"/>
      <c r="GV709" s="91"/>
      <c r="GW709" s="91"/>
      <c r="GX709" s="91"/>
      <c r="GY709" s="91"/>
      <c r="GZ709" s="91"/>
      <c r="HA709" s="91"/>
      <c r="HB709" s="91"/>
      <c r="HC709" s="91"/>
      <c r="HD709" s="91"/>
      <c r="HE709" s="91"/>
      <c r="HF709" s="91"/>
      <c r="HG709" s="91"/>
      <c r="HH709" s="91"/>
      <c r="HI709" s="91"/>
      <c r="HJ709" s="91"/>
      <c r="HK709" s="91"/>
      <c r="HL709" s="91"/>
      <c r="HM709" s="91"/>
      <c r="HN709" s="91"/>
      <c r="HO709" s="91"/>
      <c r="HP709" s="91"/>
      <c r="HQ709" s="91"/>
      <c r="HR709" s="91"/>
      <c r="HS709" s="91"/>
      <c r="HT709" s="91"/>
      <c r="HU709" s="91"/>
      <c r="HV709" s="91"/>
      <c r="HW709" s="91"/>
      <c r="HX709" s="91"/>
      <c r="HY709" s="91"/>
      <c r="HZ709" s="91"/>
      <c r="IA709" s="91"/>
      <c r="IB709" s="91"/>
      <c r="IC709" s="91"/>
      <c r="ID709" s="91"/>
      <c r="IE709" s="91"/>
    </row>
    <row r="710" spans="2:239" ht="15" x14ac:dyDescent="0.2">
      <c r="B710" s="91"/>
      <c r="C710" s="91"/>
      <c r="D710" s="91"/>
      <c r="E710" s="227"/>
      <c r="F710" s="91"/>
      <c r="G710" s="91"/>
      <c r="H710" s="91"/>
      <c r="I710" s="91"/>
      <c r="J710" s="91"/>
      <c r="K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c r="HV710" s="91"/>
      <c r="HW710" s="91"/>
      <c r="HX710" s="91"/>
      <c r="HY710" s="91"/>
      <c r="HZ710" s="91"/>
      <c r="IA710" s="91"/>
      <c r="IB710" s="91"/>
      <c r="IC710" s="91"/>
      <c r="ID710" s="91"/>
      <c r="IE710" s="91"/>
    </row>
    <row r="711" spans="2:239" ht="15" x14ac:dyDescent="0.2">
      <c r="B711" s="91"/>
      <c r="C711" s="91"/>
      <c r="D711" s="91"/>
      <c r="E711" s="227"/>
      <c r="F711" s="91"/>
      <c r="G711" s="91"/>
      <c r="H711" s="91"/>
      <c r="I711" s="91"/>
      <c r="J711" s="91"/>
      <c r="K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c r="GU711" s="91"/>
      <c r="GV711" s="91"/>
      <c r="GW711" s="91"/>
      <c r="GX711" s="91"/>
      <c r="GY711" s="91"/>
      <c r="GZ711" s="91"/>
      <c r="HA711" s="91"/>
      <c r="HB711" s="91"/>
      <c r="HC711" s="91"/>
      <c r="HD711" s="91"/>
      <c r="HE711" s="91"/>
      <c r="HF711" s="91"/>
      <c r="HG711" s="91"/>
      <c r="HH711" s="91"/>
      <c r="HI711" s="91"/>
      <c r="HJ711" s="91"/>
      <c r="HK711" s="91"/>
      <c r="HL711" s="91"/>
      <c r="HM711" s="91"/>
      <c r="HN711" s="91"/>
      <c r="HO711" s="91"/>
      <c r="HP711" s="91"/>
      <c r="HQ711" s="91"/>
      <c r="HR711" s="91"/>
      <c r="HS711" s="91"/>
      <c r="HT711" s="91"/>
      <c r="HU711" s="91"/>
      <c r="HV711" s="91"/>
      <c r="HW711" s="91"/>
      <c r="HX711" s="91"/>
      <c r="HY711" s="91"/>
      <c r="HZ711" s="91"/>
      <c r="IA711" s="91"/>
      <c r="IB711" s="91"/>
      <c r="IC711" s="91"/>
      <c r="ID711" s="91"/>
      <c r="IE711" s="91"/>
    </row>
    <row r="712" spans="2:239" ht="15" x14ac:dyDescent="0.2">
      <c r="B712" s="91"/>
      <c r="C712" s="91"/>
      <c r="D712" s="91"/>
      <c r="E712" s="227"/>
      <c r="F712" s="91"/>
      <c r="G712" s="91"/>
      <c r="H712" s="91"/>
      <c r="I712" s="91"/>
      <c r="J712" s="91"/>
      <c r="K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c r="HV712" s="91"/>
      <c r="HW712" s="91"/>
      <c r="HX712" s="91"/>
      <c r="HY712" s="91"/>
      <c r="HZ712" s="91"/>
      <c r="IA712" s="91"/>
      <c r="IB712" s="91"/>
      <c r="IC712" s="91"/>
      <c r="ID712" s="91"/>
      <c r="IE712" s="91"/>
    </row>
    <row r="713" spans="2:239" ht="15" x14ac:dyDescent="0.2">
      <c r="B713" s="91"/>
      <c r="C713" s="91"/>
      <c r="D713" s="91"/>
      <c r="E713" s="227"/>
      <c r="F713" s="91"/>
      <c r="G713" s="91"/>
      <c r="H713" s="91"/>
      <c r="I713" s="91"/>
      <c r="J713" s="91"/>
      <c r="K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c r="GU713" s="91"/>
      <c r="GV713" s="91"/>
      <c r="GW713" s="91"/>
      <c r="GX713" s="91"/>
      <c r="GY713" s="91"/>
      <c r="GZ713" s="91"/>
      <c r="HA713" s="91"/>
      <c r="HB713" s="91"/>
      <c r="HC713" s="91"/>
      <c r="HD713" s="91"/>
      <c r="HE713" s="91"/>
      <c r="HF713" s="91"/>
      <c r="HG713" s="91"/>
      <c r="HH713" s="91"/>
      <c r="HI713" s="91"/>
      <c r="HJ713" s="91"/>
      <c r="HK713" s="91"/>
      <c r="HL713" s="91"/>
      <c r="HM713" s="91"/>
      <c r="HN713" s="91"/>
      <c r="HO713" s="91"/>
      <c r="HP713" s="91"/>
      <c r="HQ713" s="91"/>
      <c r="HR713" s="91"/>
      <c r="HS713" s="91"/>
      <c r="HT713" s="91"/>
      <c r="HU713" s="91"/>
      <c r="HV713" s="91"/>
      <c r="HW713" s="91"/>
      <c r="HX713" s="91"/>
      <c r="HY713" s="91"/>
      <c r="HZ713" s="91"/>
      <c r="IA713" s="91"/>
      <c r="IB713" s="91"/>
      <c r="IC713" s="91"/>
      <c r="ID713" s="91"/>
      <c r="IE713" s="91"/>
    </row>
    <row r="714" spans="2:239" ht="15" x14ac:dyDescent="0.2">
      <c r="B714" s="91"/>
      <c r="C714" s="91"/>
      <c r="D714" s="91"/>
      <c r="E714" s="227"/>
      <c r="F714" s="91"/>
      <c r="G714" s="91"/>
      <c r="H714" s="91"/>
      <c r="I714" s="91"/>
      <c r="J714" s="91"/>
      <c r="K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c r="HV714" s="91"/>
      <c r="HW714" s="91"/>
      <c r="HX714" s="91"/>
      <c r="HY714" s="91"/>
      <c r="HZ714" s="91"/>
      <c r="IA714" s="91"/>
      <c r="IB714" s="91"/>
      <c r="IC714" s="91"/>
      <c r="ID714" s="91"/>
      <c r="IE714" s="91"/>
    </row>
    <row r="715" spans="2:239" ht="15" x14ac:dyDescent="0.2">
      <c r="B715" s="91"/>
      <c r="C715" s="91"/>
      <c r="D715" s="91"/>
      <c r="E715" s="227"/>
      <c r="F715" s="91"/>
      <c r="G715" s="91"/>
      <c r="H715" s="91"/>
      <c r="I715" s="91"/>
      <c r="J715" s="91"/>
      <c r="K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c r="GU715" s="91"/>
      <c r="GV715" s="91"/>
      <c r="GW715" s="91"/>
      <c r="GX715" s="91"/>
      <c r="GY715" s="91"/>
      <c r="GZ715" s="91"/>
      <c r="HA715" s="91"/>
      <c r="HB715" s="91"/>
      <c r="HC715" s="91"/>
      <c r="HD715" s="91"/>
      <c r="HE715" s="91"/>
      <c r="HF715" s="91"/>
      <c r="HG715" s="91"/>
      <c r="HH715" s="91"/>
      <c r="HI715" s="91"/>
      <c r="HJ715" s="91"/>
      <c r="HK715" s="91"/>
      <c r="HL715" s="91"/>
      <c r="HM715" s="91"/>
      <c r="HN715" s="91"/>
      <c r="HO715" s="91"/>
      <c r="HP715" s="91"/>
      <c r="HQ715" s="91"/>
      <c r="HR715" s="91"/>
      <c r="HS715" s="91"/>
      <c r="HT715" s="91"/>
      <c r="HU715" s="91"/>
      <c r="HV715" s="91"/>
      <c r="HW715" s="91"/>
      <c r="HX715" s="91"/>
      <c r="HY715" s="91"/>
      <c r="HZ715" s="91"/>
      <c r="IA715" s="91"/>
      <c r="IB715" s="91"/>
      <c r="IC715" s="91"/>
      <c r="ID715" s="91"/>
      <c r="IE715" s="91"/>
    </row>
    <row r="716" spans="2:239" ht="15" x14ac:dyDescent="0.2">
      <c r="B716" s="91"/>
      <c r="C716" s="91"/>
      <c r="D716" s="91"/>
      <c r="E716" s="227"/>
      <c r="F716" s="91"/>
      <c r="G716" s="91"/>
      <c r="H716" s="91"/>
      <c r="I716" s="91"/>
      <c r="J716" s="91"/>
      <c r="K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c r="HV716" s="91"/>
      <c r="HW716" s="91"/>
      <c r="HX716" s="91"/>
      <c r="HY716" s="91"/>
      <c r="HZ716" s="91"/>
      <c r="IA716" s="91"/>
      <c r="IB716" s="91"/>
      <c r="IC716" s="91"/>
      <c r="ID716" s="91"/>
      <c r="IE716" s="91"/>
    </row>
    <row r="717" spans="2:239" ht="15" x14ac:dyDescent="0.2">
      <c r="B717" s="91"/>
      <c r="C717" s="91"/>
      <c r="D717" s="91"/>
      <c r="E717" s="227"/>
      <c r="F717" s="91"/>
      <c r="G717" s="91"/>
      <c r="H717" s="91"/>
      <c r="I717" s="91"/>
      <c r="J717" s="91"/>
      <c r="K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c r="GU717" s="91"/>
      <c r="GV717" s="91"/>
      <c r="GW717" s="91"/>
      <c r="GX717" s="91"/>
      <c r="GY717" s="91"/>
      <c r="GZ717" s="91"/>
      <c r="HA717" s="91"/>
      <c r="HB717" s="91"/>
      <c r="HC717" s="91"/>
      <c r="HD717" s="91"/>
      <c r="HE717" s="91"/>
      <c r="HF717" s="91"/>
      <c r="HG717" s="91"/>
      <c r="HH717" s="91"/>
      <c r="HI717" s="91"/>
      <c r="HJ717" s="91"/>
      <c r="HK717" s="91"/>
      <c r="HL717" s="91"/>
      <c r="HM717" s="91"/>
      <c r="HN717" s="91"/>
      <c r="HO717" s="91"/>
      <c r="HP717" s="91"/>
      <c r="HQ717" s="91"/>
      <c r="HR717" s="91"/>
      <c r="HS717" s="91"/>
      <c r="HT717" s="91"/>
      <c r="HU717" s="91"/>
      <c r="HV717" s="91"/>
      <c r="HW717" s="91"/>
      <c r="HX717" s="91"/>
      <c r="HY717" s="91"/>
      <c r="HZ717" s="91"/>
      <c r="IA717" s="91"/>
      <c r="IB717" s="91"/>
      <c r="IC717" s="91"/>
      <c r="ID717" s="91"/>
      <c r="IE717" s="91"/>
    </row>
    <row r="718" spans="2:239" ht="15" x14ac:dyDescent="0.2">
      <c r="B718" s="91"/>
      <c r="C718" s="91"/>
      <c r="D718" s="91"/>
      <c r="E718" s="227"/>
      <c r="F718" s="91"/>
      <c r="G718" s="91"/>
      <c r="H718" s="91"/>
      <c r="I718" s="91"/>
      <c r="J718" s="91"/>
      <c r="K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c r="HV718" s="91"/>
      <c r="HW718" s="91"/>
      <c r="HX718" s="91"/>
      <c r="HY718" s="91"/>
      <c r="HZ718" s="91"/>
      <c r="IA718" s="91"/>
      <c r="IB718" s="91"/>
      <c r="IC718" s="91"/>
      <c r="ID718" s="91"/>
      <c r="IE718" s="91"/>
    </row>
    <row r="719" spans="2:239" ht="15" x14ac:dyDescent="0.2">
      <c r="B719" s="91"/>
      <c r="C719" s="91"/>
      <c r="D719" s="91"/>
      <c r="E719" s="227"/>
      <c r="F719" s="91"/>
      <c r="G719" s="91"/>
      <c r="H719" s="91"/>
      <c r="I719" s="91"/>
      <c r="J719" s="91"/>
      <c r="K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c r="GU719" s="91"/>
      <c r="GV719" s="91"/>
      <c r="GW719" s="91"/>
      <c r="GX719" s="91"/>
      <c r="GY719" s="91"/>
      <c r="GZ719" s="91"/>
      <c r="HA719" s="91"/>
      <c r="HB719" s="91"/>
      <c r="HC719" s="91"/>
      <c r="HD719" s="91"/>
      <c r="HE719" s="91"/>
      <c r="HF719" s="91"/>
      <c r="HG719" s="91"/>
      <c r="HH719" s="91"/>
      <c r="HI719" s="91"/>
      <c r="HJ719" s="91"/>
      <c r="HK719" s="91"/>
      <c r="HL719" s="91"/>
      <c r="HM719" s="91"/>
      <c r="HN719" s="91"/>
      <c r="HO719" s="91"/>
      <c r="HP719" s="91"/>
      <c r="HQ719" s="91"/>
      <c r="HR719" s="91"/>
      <c r="HS719" s="91"/>
      <c r="HT719" s="91"/>
      <c r="HU719" s="91"/>
      <c r="HV719" s="91"/>
      <c r="HW719" s="91"/>
      <c r="HX719" s="91"/>
      <c r="HY719" s="91"/>
      <c r="HZ719" s="91"/>
      <c r="IA719" s="91"/>
      <c r="IB719" s="91"/>
      <c r="IC719" s="91"/>
      <c r="ID719" s="91"/>
      <c r="IE719" s="91"/>
    </row>
    <row r="720" spans="2:239" ht="15" x14ac:dyDescent="0.2">
      <c r="B720" s="91"/>
      <c r="C720" s="91"/>
      <c r="D720" s="91"/>
      <c r="E720" s="227"/>
      <c r="F720" s="91"/>
      <c r="G720" s="91"/>
      <c r="H720" s="91"/>
      <c r="I720" s="91"/>
      <c r="J720" s="91"/>
      <c r="K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c r="HV720" s="91"/>
      <c r="HW720" s="91"/>
      <c r="HX720" s="91"/>
      <c r="HY720" s="91"/>
      <c r="HZ720" s="91"/>
      <c r="IA720" s="91"/>
      <c r="IB720" s="91"/>
      <c r="IC720" s="91"/>
      <c r="ID720" s="91"/>
      <c r="IE720" s="91"/>
    </row>
    <row r="721" spans="2:239" ht="15" x14ac:dyDescent="0.2">
      <c r="B721" s="91"/>
      <c r="C721" s="91"/>
      <c r="D721" s="91"/>
      <c r="E721" s="227"/>
      <c r="F721" s="91"/>
      <c r="G721" s="91"/>
      <c r="H721" s="91"/>
      <c r="I721" s="91"/>
      <c r="J721" s="91"/>
      <c r="K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c r="GU721" s="91"/>
      <c r="GV721" s="91"/>
      <c r="GW721" s="91"/>
      <c r="GX721" s="91"/>
      <c r="GY721" s="91"/>
      <c r="GZ721" s="91"/>
      <c r="HA721" s="91"/>
      <c r="HB721" s="91"/>
      <c r="HC721" s="91"/>
      <c r="HD721" s="91"/>
      <c r="HE721" s="91"/>
      <c r="HF721" s="91"/>
      <c r="HG721" s="91"/>
      <c r="HH721" s="91"/>
      <c r="HI721" s="91"/>
      <c r="HJ721" s="91"/>
      <c r="HK721" s="91"/>
      <c r="HL721" s="91"/>
      <c r="HM721" s="91"/>
      <c r="HN721" s="91"/>
      <c r="HO721" s="91"/>
      <c r="HP721" s="91"/>
      <c r="HQ721" s="91"/>
      <c r="HR721" s="91"/>
      <c r="HS721" s="91"/>
      <c r="HT721" s="91"/>
      <c r="HU721" s="91"/>
      <c r="HV721" s="91"/>
      <c r="HW721" s="91"/>
      <c r="HX721" s="91"/>
      <c r="HY721" s="91"/>
      <c r="HZ721" s="91"/>
      <c r="IA721" s="91"/>
      <c r="IB721" s="91"/>
      <c r="IC721" s="91"/>
      <c r="ID721" s="91"/>
      <c r="IE721" s="91"/>
    </row>
    <row r="722" spans="2:239" ht="15" x14ac:dyDescent="0.2">
      <c r="B722" s="91"/>
      <c r="C722" s="91"/>
      <c r="D722" s="91"/>
      <c r="E722" s="227"/>
      <c r="F722" s="91"/>
      <c r="G722" s="91"/>
      <c r="H722" s="91"/>
      <c r="I722" s="91"/>
      <c r="J722" s="91"/>
      <c r="K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c r="HV722" s="91"/>
      <c r="HW722" s="91"/>
      <c r="HX722" s="91"/>
      <c r="HY722" s="91"/>
      <c r="HZ722" s="91"/>
      <c r="IA722" s="91"/>
      <c r="IB722" s="91"/>
      <c r="IC722" s="91"/>
      <c r="ID722" s="91"/>
      <c r="IE722" s="91"/>
    </row>
    <row r="723" spans="2:239" ht="15" x14ac:dyDescent="0.2">
      <c r="B723" s="91"/>
      <c r="C723" s="91"/>
      <c r="D723" s="91"/>
      <c r="E723" s="227"/>
      <c r="F723" s="91"/>
      <c r="G723" s="91"/>
      <c r="H723" s="91"/>
      <c r="I723" s="91"/>
      <c r="J723" s="91"/>
      <c r="K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c r="GU723" s="91"/>
      <c r="GV723" s="91"/>
      <c r="GW723" s="91"/>
      <c r="GX723" s="91"/>
      <c r="GY723" s="91"/>
      <c r="GZ723" s="91"/>
      <c r="HA723" s="91"/>
      <c r="HB723" s="91"/>
      <c r="HC723" s="91"/>
      <c r="HD723" s="91"/>
      <c r="HE723" s="91"/>
      <c r="HF723" s="91"/>
      <c r="HG723" s="91"/>
      <c r="HH723" s="91"/>
      <c r="HI723" s="91"/>
      <c r="HJ723" s="91"/>
      <c r="HK723" s="91"/>
      <c r="HL723" s="91"/>
      <c r="HM723" s="91"/>
      <c r="HN723" s="91"/>
      <c r="HO723" s="91"/>
      <c r="HP723" s="91"/>
      <c r="HQ723" s="91"/>
      <c r="HR723" s="91"/>
      <c r="HS723" s="91"/>
      <c r="HT723" s="91"/>
      <c r="HU723" s="91"/>
      <c r="HV723" s="91"/>
      <c r="HW723" s="91"/>
      <c r="HX723" s="91"/>
      <c r="HY723" s="91"/>
      <c r="HZ723" s="91"/>
      <c r="IA723" s="91"/>
      <c r="IB723" s="91"/>
      <c r="IC723" s="91"/>
      <c r="ID723" s="91"/>
      <c r="IE723" s="91"/>
    </row>
    <row r="724" spans="2:239" ht="15" x14ac:dyDescent="0.2">
      <c r="B724" s="91"/>
      <c r="C724" s="91"/>
      <c r="D724" s="91"/>
      <c r="E724" s="227"/>
      <c r="F724" s="91"/>
      <c r="G724" s="91"/>
      <c r="H724" s="91"/>
      <c r="I724" s="91"/>
      <c r="J724" s="91"/>
      <c r="K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row>
    <row r="725" spans="2:239" ht="15" x14ac:dyDescent="0.2">
      <c r="B725" s="91"/>
      <c r="C725" s="91"/>
      <c r="D725" s="91"/>
      <c r="E725" s="227"/>
      <c r="F725" s="91"/>
      <c r="G725" s="91"/>
      <c r="H725" s="91"/>
      <c r="I725" s="91"/>
      <c r="J725" s="91"/>
      <c r="K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c r="GU725" s="91"/>
      <c r="GV725" s="91"/>
      <c r="GW725" s="91"/>
      <c r="GX725" s="91"/>
      <c r="GY725" s="91"/>
      <c r="GZ725" s="91"/>
      <c r="HA725" s="91"/>
      <c r="HB725" s="91"/>
      <c r="HC725" s="91"/>
      <c r="HD725" s="91"/>
      <c r="HE725" s="91"/>
      <c r="HF725" s="91"/>
      <c r="HG725" s="91"/>
      <c r="HH725" s="91"/>
      <c r="HI725" s="91"/>
      <c r="HJ725" s="91"/>
      <c r="HK725" s="91"/>
      <c r="HL725" s="91"/>
      <c r="HM725" s="91"/>
      <c r="HN725" s="91"/>
      <c r="HO725" s="91"/>
      <c r="HP725" s="91"/>
      <c r="HQ725" s="91"/>
      <c r="HR725" s="91"/>
      <c r="HS725" s="91"/>
      <c r="HT725" s="91"/>
      <c r="HU725" s="91"/>
      <c r="HV725" s="91"/>
      <c r="HW725" s="91"/>
      <c r="HX725" s="91"/>
      <c r="HY725" s="91"/>
      <c r="HZ725" s="91"/>
      <c r="IA725" s="91"/>
      <c r="IB725" s="91"/>
      <c r="IC725" s="91"/>
      <c r="ID725" s="91"/>
      <c r="IE725" s="91"/>
    </row>
    <row r="726" spans="2:239" ht="15" x14ac:dyDescent="0.2">
      <c r="B726" s="91"/>
      <c r="C726" s="91"/>
      <c r="D726" s="91"/>
      <c r="E726" s="227"/>
      <c r="F726" s="91"/>
      <c r="G726" s="91"/>
      <c r="H726" s="91"/>
      <c r="I726" s="91"/>
      <c r="J726" s="91"/>
      <c r="K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c r="HV726" s="91"/>
      <c r="HW726" s="91"/>
      <c r="HX726" s="91"/>
      <c r="HY726" s="91"/>
      <c r="HZ726" s="91"/>
      <c r="IA726" s="91"/>
      <c r="IB726" s="91"/>
      <c r="IC726" s="91"/>
      <c r="ID726" s="91"/>
      <c r="IE726" s="91"/>
    </row>
    <row r="727" spans="2:239" ht="15" x14ac:dyDescent="0.2">
      <c r="B727" s="91"/>
      <c r="C727" s="91"/>
      <c r="D727" s="91"/>
      <c r="E727" s="227"/>
      <c r="F727" s="91"/>
      <c r="G727" s="91"/>
      <c r="H727" s="91"/>
      <c r="I727" s="91"/>
      <c r="J727" s="91"/>
      <c r="K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c r="GU727" s="91"/>
      <c r="GV727" s="91"/>
      <c r="GW727" s="91"/>
      <c r="GX727" s="91"/>
      <c r="GY727" s="91"/>
      <c r="GZ727" s="91"/>
      <c r="HA727" s="91"/>
      <c r="HB727" s="91"/>
      <c r="HC727" s="91"/>
      <c r="HD727" s="91"/>
      <c r="HE727" s="91"/>
      <c r="HF727" s="91"/>
      <c r="HG727" s="91"/>
      <c r="HH727" s="91"/>
      <c r="HI727" s="91"/>
      <c r="HJ727" s="91"/>
      <c r="HK727" s="91"/>
      <c r="HL727" s="91"/>
      <c r="HM727" s="91"/>
      <c r="HN727" s="91"/>
      <c r="HO727" s="91"/>
      <c r="HP727" s="91"/>
      <c r="HQ727" s="91"/>
      <c r="HR727" s="91"/>
      <c r="HS727" s="91"/>
      <c r="HT727" s="91"/>
      <c r="HU727" s="91"/>
      <c r="HV727" s="91"/>
      <c r="HW727" s="91"/>
      <c r="HX727" s="91"/>
      <c r="HY727" s="91"/>
      <c r="HZ727" s="91"/>
      <c r="IA727" s="91"/>
      <c r="IB727" s="91"/>
      <c r="IC727" s="91"/>
      <c r="ID727" s="91"/>
      <c r="IE727" s="91"/>
    </row>
    <row r="728" spans="2:239" ht="15" x14ac:dyDescent="0.2">
      <c r="B728" s="91"/>
      <c r="C728" s="91"/>
      <c r="D728" s="91"/>
      <c r="E728" s="227"/>
      <c r="F728" s="91"/>
      <c r="G728" s="91"/>
      <c r="H728" s="91"/>
      <c r="I728" s="91"/>
      <c r="J728" s="91"/>
      <c r="K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c r="HV728" s="91"/>
      <c r="HW728" s="91"/>
      <c r="HX728" s="91"/>
      <c r="HY728" s="91"/>
      <c r="HZ728" s="91"/>
      <c r="IA728" s="91"/>
      <c r="IB728" s="91"/>
      <c r="IC728" s="91"/>
      <c r="ID728" s="91"/>
      <c r="IE728" s="91"/>
    </row>
    <row r="729" spans="2:239" ht="15" x14ac:dyDescent="0.2">
      <c r="B729" s="91"/>
      <c r="C729" s="91"/>
      <c r="D729" s="91"/>
      <c r="E729" s="227"/>
      <c r="F729" s="91"/>
      <c r="G729" s="91"/>
      <c r="H729" s="91"/>
      <c r="I729" s="91"/>
      <c r="J729" s="91"/>
      <c r="K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c r="GU729" s="91"/>
      <c r="GV729" s="91"/>
      <c r="GW729" s="91"/>
      <c r="GX729" s="91"/>
      <c r="GY729" s="91"/>
      <c r="GZ729" s="91"/>
      <c r="HA729" s="91"/>
      <c r="HB729" s="91"/>
      <c r="HC729" s="91"/>
      <c r="HD729" s="91"/>
      <c r="HE729" s="91"/>
      <c r="HF729" s="91"/>
      <c r="HG729" s="91"/>
      <c r="HH729" s="91"/>
      <c r="HI729" s="91"/>
      <c r="HJ729" s="91"/>
      <c r="HK729" s="91"/>
      <c r="HL729" s="91"/>
      <c r="HM729" s="91"/>
      <c r="HN729" s="91"/>
      <c r="HO729" s="91"/>
      <c r="HP729" s="91"/>
      <c r="HQ729" s="91"/>
      <c r="HR729" s="91"/>
      <c r="HS729" s="91"/>
      <c r="HT729" s="91"/>
      <c r="HU729" s="91"/>
      <c r="HV729" s="91"/>
      <c r="HW729" s="91"/>
      <c r="HX729" s="91"/>
      <c r="HY729" s="91"/>
      <c r="HZ729" s="91"/>
      <c r="IA729" s="91"/>
      <c r="IB729" s="91"/>
      <c r="IC729" s="91"/>
      <c r="ID729" s="91"/>
      <c r="IE729" s="91"/>
    </row>
    <row r="730" spans="2:239" ht="15" x14ac:dyDescent="0.2">
      <c r="B730" s="91"/>
      <c r="C730" s="91"/>
      <c r="D730" s="91"/>
      <c r="E730" s="227"/>
      <c r="F730" s="91"/>
      <c r="G730" s="91"/>
      <c r="H730" s="91"/>
      <c r="I730" s="91"/>
      <c r="J730" s="91"/>
      <c r="K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c r="HV730" s="91"/>
      <c r="HW730" s="91"/>
      <c r="HX730" s="91"/>
      <c r="HY730" s="91"/>
      <c r="HZ730" s="91"/>
      <c r="IA730" s="91"/>
      <c r="IB730" s="91"/>
      <c r="IC730" s="91"/>
      <c r="ID730" s="91"/>
      <c r="IE730" s="91"/>
    </row>
    <row r="731" spans="2:239" ht="15" x14ac:dyDescent="0.2">
      <c r="B731" s="91"/>
      <c r="C731" s="91"/>
      <c r="D731" s="91"/>
      <c r="E731" s="227"/>
      <c r="F731" s="91"/>
      <c r="G731" s="91"/>
      <c r="H731" s="91"/>
      <c r="I731" s="91"/>
      <c r="J731" s="91"/>
      <c r="K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c r="GU731" s="91"/>
      <c r="GV731" s="91"/>
      <c r="GW731" s="91"/>
      <c r="GX731" s="91"/>
      <c r="GY731" s="91"/>
      <c r="GZ731" s="91"/>
      <c r="HA731" s="91"/>
      <c r="HB731" s="91"/>
      <c r="HC731" s="91"/>
      <c r="HD731" s="91"/>
      <c r="HE731" s="91"/>
      <c r="HF731" s="91"/>
      <c r="HG731" s="91"/>
      <c r="HH731" s="91"/>
      <c r="HI731" s="91"/>
      <c r="HJ731" s="91"/>
      <c r="HK731" s="91"/>
      <c r="HL731" s="91"/>
      <c r="HM731" s="91"/>
      <c r="HN731" s="91"/>
      <c r="HO731" s="91"/>
      <c r="HP731" s="91"/>
      <c r="HQ731" s="91"/>
      <c r="HR731" s="91"/>
      <c r="HS731" s="91"/>
      <c r="HT731" s="91"/>
      <c r="HU731" s="91"/>
      <c r="HV731" s="91"/>
      <c r="HW731" s="91"/>
      <c r="HX731" s="91"/>
      <c r="HY731" s="91"/>
      <c r="HZ731" s="91"/>
      <c r="IA731" s="91"/>
      <c r="IB731" s="91"/>
      <c r="IC731" s="91"/>
      <c r="ID731" s="91"/>
      <c r="IE731" s="91"/>
    </row>
    <row r="732" spans="2:239" ht="15" x14ac:dyDescent="0.2">
      <c r="B732" s="91"/>
      <c r="C732" s="91"/>
      <c r="D732" s="91"/>
      <c r="E732" s="227"/>
      <c r="F732" s="91"/>
      <c r="G732" s="91"/>
      <c r="H732" s="91"/>
      <c r="I732" s="91"/>
      <c r="J732" s="91"/>
      <c r="K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c r="HV732" s="91"/>
      <c r="HW732" s="91"/>
      <c r="HX732" s="91"/>
      <c r="HY732" s="91"/>
      <c r="HZ732" s="91"/>
      <c r="IA732" s="91"/>
      <c r="IB732" s="91"/>
      <c r="IC732" s="91"/>
      <c r="ID732" s="91"/>
      <c r="IE732" s="91"/>
    </row>
    <row r="733" spans="2:239" ht="15" x14ac:dyDescent="0.2">
      <c r="B733" s="91"/>
      <c r="C733" s="91"/>
      <c r="D733" s="91"/>
      <c r="E733" s="227"/>
      <c r="F733" s="91"/>
      <c r="G733" s="91"/>
      <c r="H733" s="91"/>
      <c r="I733" s="91"/>
      <c r="J733" s="91"/>
      <c r="K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c r="GU733" s="91"/>
      <c r="GV733" s="91"/>
      <c r="GW733" s="91"/>
      <c r="GX733" s="91"/>
      <c r="GY733" s="91"/>
      <c r="GZ733" s="91"/>
      <c r="HA733" s="91"/>
      <c r="HB733" s="91"/>
      <c r="HC733" s="91"/>
      <c r="HD733" s="91"/>
      <c r="HE733" s="91"/>
      <c r="HF733" s="91"/>
      <c r="HG733" s="91"/>
      <c r="HH733" s="91"/>
      <c r="HI733" s="91"/>
      <c r="HJ733" s="91"/>
      <c r="HK733" s="91"/>
      <c r="HL733" s="91"/>
      <c r="HM733" s="91"/>
      <c r="HN733" s="91"/>
      <c r="HO733" s="91"/>
      <c r="HP733" s="91"/>
      <c r="HQ733" s="91"/>
      <c r="HR733" s="91"/>
      <c r="HS733" s="91"/>
      <c r="HT733" s="91"/>
      <c r="HU733" s="91"/>
      <c r="HV733" s="91"/>
      <c r="HW733" s="91"/>
      <c r="HX733" s="91"/>
      <c r="HY733" s="91"/>
      <c r="HZ733" s="91"/>
      <c r="IA733" s="91"/>
      <c r="IB733" s="91"/>
      <c r="IC733" s="91"/>
      <c r="ID733" s="91"/>
      <c r="IE733" s="91"/>
    </row>
    <row r="734" spans="2:239" ht="15" x14ac:dyDescent="0.2">
      <c r="B734" s="91"/>
      <c r="C734" s="91"/>
      <c r="D734" s="91"/>
      <c r="E734" s="227"/>
      <c r="F734" s="91"/>
      <c r="G734" s="91"/>
      <c r="H734" s="91"/>
      <c r="I734" s="91"/>
      <c r="J734" s="91"/>
      <c r="K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c r="HV734" s="91"/>
      <c r="HW734" s="91"/>
      <c r="HX734" s="91"/>
      <c r="HY734" s="91"/>
      <c r="HZ734" s="91"/>
      <c r="IA734" s="91"/>
      <c r="IB734" s="91"/>
      <c r="IC734" s="91"/>
      <c r="ID734" s="91"/>
      <c r="IE734" s="91"/>
    </row>
    <row r="735" spans="2:239" ht="15" x14ac:dyDescent="0.2">
      <c r="B735" s="91"/>
      <c r="C735" s="91"/>
      <c r="D735" s="91"/>
      <c r="E735" s="227"/>
      <c r="F735" s="91"/>
      <c r="G735" s="91"/>
      <c r="H735" s="91"/>
      <c r="I735" s="91"/>
      <c r="J735" s="91"/>
      <c r="K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c r="GU735" s="91"/>
      <c r="GV735" s="91"/>
      <c r="GW735" s="91"/>
      <c r="GX735" s="91"/>
      <c r="GY735" s="91"/>
      <c r="GZ735" s="91"/>
      <c r="HA735" s="91"/>
      <c r="HB735" s="91"/>
      <c r="HC735" s="91"/>
      <c r="HD735" s="91"/>
      <c r="HE735" s="91"/>
      <c r="HF735" s="91"/>
      <c r="HG735" s="91"/>
      <c r="HH735" s="91"/>
      <c r="HI735" s="91"/>
      <c r="HJ735" s="91"/>
      <c r="HK735" s="91"/>
      <c r="HL735" s="91"/>
      <c r="HM735" s="91"/>
      <c r="HN735" s="91"/>
      <c r="HO735" s="91"/>
      <c r="HP735" s="91"/>
      <c r="HQ735" s="91"/>
      <c r="HR735" s="91"/>
      <c r="HS735" s="91"/>
      <c r="HT735" s="91"/>
      <c r="HU735" s="91"/>
      <c r="HV735" s="91"/>
      <c r="HW735" s="91"/>
      <c r="HX735" s="91"/>
      <c r="HY735" s="91"/>
      <c r="HZ735" s="91"/>
      <c r="IA735" s="91"/>
      <c r="IB735" s="91"/>
      <c r="IC735" s="91"/>
      <c r="ID735" s="91"/>
      <c r="IE735" s="91"/>
    </row>
    <row r="736" spans="2:239" ht="15" x14ac:dyDescent="0.2">
      <c r="B736" s="91"/>
      <c r="C736" s="91"/>
      <c r="D736" s="91"/>
      <c r="E736" s="227"/>
      <c r="F736" s="91"/>
      <c r="G736" s="91"/>
      <c r="H736" s="91"/>
      <c r="I736" s="91"/>
      <c r="J736" s="91"/>
      <c r="K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c r="HV736" s="91"/>
      <c r="HW736" s="91"/>
      <c r="HX736" s="91"/>
      <c r="HY736" s="91"/>
      <c r="HZ736" s="91"/>
      <c r="IA736" s="91"/>
      <c r="IB736" s="91"/>
      <c r="IC736" s="91"/>
      <c r="ID736" s="91"/>
      <c r="IE736" s="91"/>
    </row>
    <row r="737" spans="2:239" ht="15" x14ac:dyDescent="0.2">
      <c r="B737" s="91"/>
      <c r="C737" s="91"/>
      <c r="D737" s="91"/>
      <c r="E737" s="227"/>
      <c r="F737" s="91"/>
      <c r="G737" s="91"/>
      <c r="H737" s="91"/>
      <c r="I737" s="91"/>
      <c r="J737" s="91"/>
      <c r="K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c r="GU737" s="91"/>
      <c r="GV737" s="91"/>
      <c r="GW737" s="91"/>
      <c r="GX737" s="91"/>
      <c r="GY737" s="91"/>
      <c r="GZ737" s="91"/>
      <c r="HA737" s="91"/>
      <c r="HB737" s="91"/>
      <c r="HC737" s="91"/>
      <c r="HD737" s="91"/>
      <c r="HE737" s="91"/>
      <c r="HF737" s="91"/>
      <c r="HG737" s="91"/>
      <c r="HH737" s="91"/>
      <c r="HI737" s="91"/>
      <c r="HJ737" s="91"/>
      <c r="HK737" s="91"/>
      <c r="HL737" s="91"/>
      <c r="HM737" s="91"/>
      <c r="HN737" s="91"/>
      <c r="HO737" s="91"/>
      <c r="HP737" s="91"/>
      <c r="HQ737" s="91"/>
      <c r="HR737" s="91"/>
      <c r="HS737" s="91"/>
      <c r="HT737" s="91"/>
      <c r="HU737" s="91"/>
      <c r="HV737" s="91"/>
      <c r="HW737" s="91"/>
      <c r="HX737" s="91"/>
      <c r="HY737" s="91"/>
      <c r="HZ737" s="91"/>
      <c r="IA737" s="91"/>
      <c r="IB737" s="91"/>
      <c r="IC737" s="91"/>
      <c r="ID737" s="91"/>
      <c r="IE737" s="91"/>
    </row>
    <row r="738" spans="2:239" ht="15" x14ac:dyDescent="0.2">
      <c r="B738" s="91"/>
      <c r="C738" s="91"/>
      <c r="D738" s="91"/>
      <c r="E738" s="227"/>
      <c r="F738" s="91"/>
      <c r="G738" s="91"/>
      <c r="H738" s="91"/>
      <c r="I738" s="91"/>
      <c r="J738" s="91"/>
      <c r="K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c r="HV738" s="91"/>
      <c r="HW738" s="91"/>
      <c r="HX738" s="91"/>
      <c r="HY738" s="91"/>
      <c r="HZ738" s="91"/>
      <c r="IA738" s="91"/>
      <c r="IB738" s="91"/>
      <c r="IC738" s="91"/>
      <c r="ID738" s="91"/>
      <c r="IE738" s="91"/>
    </row>
    <row r="739" spans="2:239" ht="15" x14ac:dyDescent="0.2">
      <c r="B739" s="91"/>
      <c r="C739" s="91"/>
      <c r="D739" s="91"/>
      <c r="E739" s="227"/>
      <c r="F739" s="91"/>
      <c r="G739" s="91"/>
      <c r="H739" s="91"/>
      <c r="I739" s="91"/>
      <c r="J739" s="91"/>
      <c r="K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c r="GU739" s="91"/>
      <c r="GV739" s="91"/>
      <c r="GW739" s="91"/>
      <c r="GX739" s="91"/>
      <c r="GY739" s="91"/>
      <c r="GZ739" s="91"/>
      <c r="HA739" s="91"/>
      <c r="HB739" s="91"/>
      <c r="HC739" s="91"/>
      <c r="HD739" s="91"/>
      <c r="HE739" s="91"/>
      <c r="HF739" s="91"/>
      <c r="HG739" s="91"/>
      <c r="HH739" s="91"/>
      <c r="HI739" s="91"/>
      <c r="HJ739" s="91"/>
      <c r="HK739" s="91"/>
      <c r="HL739" s="91"/>
      <c r="HM739" s="91"/>
      <c r="HN739" s="91"/>
      <c r="HO739" s="91"/>
      <c r="HP739" s="91"/>
      <c r="HQ739" s="91"/>
      <c r="HR739" s="91"/>
      <c r="HS739" s="91"/>
      <c r="HT739" s="91"/>
      <c r="HU739" s="91"/>
      <c r="HV739" s="91"/>
      <c r="HW739" s="91"/>
      <c r="HX739" s="91"/>
      <c r="HY739" s="91"/>
      <c r="HZ739" s="91"/>
      <c r="IA739" s="91"/>
      <c r="IB739" s="91"/>
      <c r="IC739" s="91"/>
      <c r="ID739" s="91"/>
      <c r="IE739" s="91"/>
    </row>
    <row r="740" spans="2:239" ht="15" x14ac:dyDescent="0.2">
      <c r="B740" s="91"/>
      <c r="C740" s="91"/>
      <c r="D740" s="91"/>
      <c r="E740" s="227"/>
      <c r="F740" s="91"/>
      <c r="G740" s="91"/>
      <c r="H740" s="91"/>
      <c r="I740" s="91"/>
      <c r="J740" s="91"/>
      <c r="K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c r="HV740" s="91"/>
      <c r="HW740" s="91"/>
      <c r="HX740" s="91"/>
      <c r="HY740" s="91"/>
      <c r="HZ740" s="91"/>
      <c r="IA740" s="91"/>
      <c r="IB740" s="91"/>
      <c r="IC740" s="91"/>
      <c r="ID740" s="91"/>
      <c r="IE740" s="91"/>
    </row>
    <row r="741" spans="2:239" ht="15" x14ac:dyDescent="0.2">
      <c r="B741" s="91"/>
      <c r="C741" s="91"/>
      <c r="D741" s="91"/>
      <c r="E741" s="227"/>
      <c r="F741" s="91"/>
      <c r="G741" s="91"/>
      <c r="H741" s="91"/>
      <c r="I741" s="91"/>
      <c r="J741" s="91"/>
      <c r="K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c r="GU741" s="91"/>
      <c r="GV741" s="91"/>
      <c r="GW741" s="91"/>
      <c r="GX741" s="91"/>
      <c r="GY741" s="91"/>
      <c r="GZ741" s="91"/>
      <c r="HA741" s="91"/>
      <c r="HB741" s="91"/>
      <c r="HC741" s="91"/>
      <c r="HD741" s="91"/>
      <c r="HE741" s="91"/>
      <c r="HF741" s="91"/>
      <c r="HG741" s="91"/>
      <c r="HH741" s="91"/>
      <c r="HI741" s="91"/>
      <c r="HJ741" s="91"/>
      <c r="HK741" s="91"/>
      <c r="HL741" s="91"/>
      <c r="HM741" s="91"/>
      <c r="HN741" s="91"/>
      <c r="HO741" s="91"/>
      <c r="HP741" s="91"/>
      <c r="HQ741" s="91"/>
      <c r="HR741" s="91"/>
      <c r="HS741" s="91"/>
      <c r="HT741" s="91"/>
      <c r="HU741" s="91"/>
      <c r="HV741" s="91"/>
      <c r="HW741" s="91"/>
      <c r="HX741" s="91"/>
      <c r="HY741" s="91"/>
      <c r="HZ741" s="91"/>
      <c r="IA741" s="91"/>
      <c r="IB741" s="91"/>
      <c r="IC741" s="91"/>
      <c r="ID741" s="91"/>
      <c r="IE741" s="91"/>
    </row>
    <row r="742" spans="2:239" ht="15" x14ac:dyDescent="0.2">
      <c r="B742" s="91"/>
      <c r="C742" s="91"/>
      <c r="D742" s="91"/>
      <c r="E742" s="227"/>
      <c r="F742" s="91"/>
      <c r="G742" s="91"/>
      <c r="H742" s="91"/>
      <c r="I742" s="91"/>
      <c r="J742" s="91"/>
      <c r="K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c r="HV742" s="91"/>
      <c r="HW742" s="91"/>
      <c r="HX742" s="91"/>
      <c r="HY742" s="91"/>
      <c r="HZ742" s="91"/>
      <c r="IA742" s="91"/>
      <c r="IB742" s="91"/>
      <c r="IC742" s="91"/>
      <c r="ID742" s="91"/>
      <c r="IE742" s="91"/>
    </row>
    <row r="743" spans="2:239" ht="15" x14ac:dyDescent="0.2">
      <c r="B743" s="91"/>
      <c r="C743" s="91"/>
      <c r="D743" s="91"/>
      <c r="E743" s="227"/>
      <c r="F743" s="91"/>
      <c r="G743" s="91"/>
      <c r="H743" s="91"/>
      <c r="I743" s="91"/>
      <c r="J743" s="91"/>
      <c r="K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c r="GU743" s="91"/>
      <c r="GV743" s="91"/>
      <c r="GW743" s="91"/>
      <c r="GX743" s="91"/>
      <c r="GY743" s="91"/>
      <c r="GZ743" s="91"/>
      <c r="HA743" s="91"/>
      <c r="HB743" s="91"/>
      <c r="HC743" s="91"/>
      <c r="HD743" s="91"/>
      <c r="HE743" s="91"/>
      <c r="HF743" s="91"/>
      <c r="HG743" s="91"/>
      <c r="HH743" s="91"/>
      <c r="HI743" s="91"/>
      <c r="HJ743" s="91"/>
      <c r="HK743" s="91"/>
      <c r="HL743" s="91"/>
      <c r="HM743" s="91"/>
      <c r="HN743" s="91"/>
      <c r="HO743" s="91"/>
      <c r="HP743" s="91"/>
      <c r="HQ743" s="91"/>
      <c r="HR743" s="91"/>
      <c r="HS743" s="91"/>
      <c r="HT743" s="91"/>
      <c r="HU743" s="91"/>
      <c r="HV743" s="91"/>
      <c r="HW743" s="91"/>
      <c r="HX743" s="91"/>
      <c r="HY743" s="91"/>
      <c r="HZ743" s="91"/>
      <c r="IA743" s="91"/>
      <c r="IB743" s="91"/>
      <c r="IC743" s="91"/>
      <c r="ID743" s="91"/>
      <c r="IE743" s="91"/>
    </row>
    <row r="744" spans="2:239" ht="15" x14ac:dyDescent="0.2">
      <c r="B744" s="91"/>
      <c r="C744" s="91"/>
      <c r="D744" s="91"/>
      <c r="E744" s="227"/>
      <c r="F744" s="91"/>
      <c r="G744" s="91"/>
      <c r="H744" s="91"/>
      <c r="I744" s="91"/>
      <c r="J744" s="91"/>
      <c r="K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c r="HV744" s="91"/>
      <c r="HW744" s="91"/>
      <c r="HX744" s="91"/>
      <c r="HY744" s="91"/>
      <c r="HZ744" s="91"/>
      <c r="IA744" s="91"/>
      <c r="IB744" s="91"/>
      <c r="IC744" s="91"/>
      <c r="ID744" s="91"/>
      <c r="IE744" s="91"/>
    </row>
    <row r="745" spans="2:239" ht="15" x14ac:dyDescent="0.2">
      <c r="B745" s="91"/>
      <c r="C745" s="91"/>
      <c r="D745" s="91"/>
      <c r="E745" s="227"/>
      <c r="F745" s="91"/>
      <c r="G745" s="91"/>
      <c r="H745" s="91"/>
      <c r="I745" s="91"/>
      <c r="J745" s="91"/>
      <c r="K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c r="GU745" s="91"/>
      <c r="GV745" s="91"/>
      <c r="GW745" s="91"/>
      <c r="GX745" s="91"/>
      <c r="GY745" s="91"/>
      <c r="GZ745" s="91"/>
      <c r="HA745" s="91"/>
      <c r="HB745" s="91"/>
      <c r="HC745" s="91"/>
      <c r="HD745" s="91"/>
      <c r="HE745" s="91"/>
      <c r="HF745" s="91"/>
      <c r="HG745" s="91"/>
      <c r="HH745" s="91"/>
      <c r="HI745" s="91"/>
      <c r="HJ745" s="91"/>
      <c r="HK745" s="91"/>
      <c r="HL745" s="91"/>
      <c r="HM745" s="91"/>
      <c r="HN745" s="91"/>
      <c r="HO745" s="91"/>
      <c r="HP745" s="91"/>
      <c r="HQ745" s="91"/>
      <c r="HR745" s="91"/>
      <c r="HS745" s="91"/>
      <c r="HT745" s="91"/>
      <c r="HU745" s="91"/>
      <c r="HV745" s="91"/>
      <c r="HW745" s="91"/>
      <c r="HX745" s="91"/>
      <c r="HY745" s="91"/>
      <c r="HZ745" s="91"/>
      <c r="IA745" s="91"/>
      <c r="IB745" s="91"/>
      <c r="IC745" s="91"/>
      <c r="ID745" s="91"/>
      <c r="IE745" s="91"/>
    </row>
    <row r="746" spans="2:239" ht="15" x14ac:dyDescent="0.2">
      <c r="B746" s="91"/>
      <c r="C746" s="91"/>
      <c r="D746" s="91"/>
      <c r="E746" s="227"/>
      <c r="F746" s="91"/>
      <c r="G746" s="91"/>
      <c r="H746" s="91"/>
      <c r="I746" s="91"/>
      <c r="J746" s="91"/>
      <c r="K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c r="HV746" s="91"/>
      <c r="HW746" s="91"/>
      <c r="HX746" s="91"/>
      <c r="HY746" s="91"/>
      <c r="HZ746" s="91"/>
      <c r="IA746" s="91"/>
      <c r="IB746" s="91"/>
      <c r="IC746" s="91"/>
      <c r="ID746" s="91"/>
      <c r="IE746" s="91"/>
    </row>
    <row r="747" spans="2:239" ht="15" x14ac:dyDescent="0.2">
      <c r="B747" s="91"/>
      <c r="C747" s="91"/>
      <c r="D747" s="91"/>
      <c r="E747" s="227"/>
      <c r="F747" s="91"/>
      <c r="G747" s="91"/>
      <c r="H747" s="91"/>
      <c r="I747" s="91"/>
      <c r="J747" s="91"/>
      <c r="K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c r="GU747" s="91"/>
      <c r="GV747" s="91"/>
      <c r="GW747" s="91"/>
      <c r="GX747" s="91"/>
      <c r="GY747" s="91"/>
      <c r="GZ747" s="91"/>
      <c r="HA747" s="91"/>
      <c r="HB747" s="91"/>
      <c r="HC747" s="91"/>
      <c r="HD747" s="91"/>
      <c r="HE747" s="91"/>
      <c r="HF747" s="91"/>
      <c r="HG747" s="91"/>
      <c r="HH747" s="91"/>
      <c r="HI747" s="91"/>
      <c r="HJ747" s="91"/>
      <c r="HK747" s="91"/>
      <c r="HL747" s="91"/>
      <c r="HM747" s="91"/>
      <c r="HN747" s="91"/>
      <c r="HO747" s="91"/>
      <c r="HP747" s="91"/>
      <c r="HQ747" s="91"/>
      <c r="HR747" s="91"/>
      <c r="HS747" s="91"/>
      <c r="HT747" s="91"/>
      <c r="HU747" s="91"/>
      <c r="HV747" s="91"/>
      <c r="HW747" s="91"/>
      <c r="HX747" s="91"/>
      <c r="HY747" s="91"/>
      <c r="HZ747" s="91"/>
      <c r="IA747" s="91"/>
      <c r="IB747" s="91"/>
      <c r="IC747" s="91"/>
      <c r="ID747" s="91"/>
      <c r="IE747" s="91"/>
    </row>
    <row r="748" spans="2:239" ht="15" x14ac:dyDescent="0.2">
      <c r="B748" s="91"/>
      <c r="C748" s="91"/>
      <c r="D748" s="91"/>
      <c r="E748" s="227"/>
      <c r="F748" s="91"/>
      <c r="G748" s="91"/>
      <c r="H748" s="91"/>
      <c r="I748" s="91"/>
      <c r="J748" s="91"/>
      <c r="K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c r="HV748" s="91"/>
      <c r="HW748" s="91"/>
      <c r="HX748" s="91"/>
      <c r="HY748" s="91"/>
      <c r="HZ748" s="91"/>
      <c r="IA748" s="91"/>
      <c r="IB748" s="91"/>
      <c r="IC748" s="91"/>
      <c r="ID748" s="91"/>
      <c r="IE748" s="91"/>
    </row>
    <row r="749" spans="2:239" ht="15" x14ac:dyDescent="0.2">
      <c r="B749" s="91"/>
      <c r="C749" s="91"/>
      <c r="D749" s="91"/>
      <c r="E749" s="227"/>
      <c r="F749" s="91"/>
      <c r="G749" s="91"/>
      <c r="H749" s="91"/>
      <c r="I749" s="91"/>
      <c r="J749" s="91"/>
      <c r="K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c r="GU749" s="91"/>
      <c r="GV749" s="91"/>
      <c r="GW749" s="91"/>
      <c r="GX749" s="91"/>
      <c r="GY749" s="91"/>
      <c r="GZ749" s="91"/>
      <c r="HA749" s="91"/>
      <c r="HB749" s="91"/>
      <c r="HC749" s="91"/>
      <c r="HD749" s="91"/>
      <c r="HE749" s="91"/>
      <c r="HF749" s="91"/>
      <c r="HG749" s="91"/>
      <c r="HH749" s="91"/>
      <c r="HI749" s="91"/>
      <c r="HJ749" s="91"/>
      <c r="HK749" s="91"/>
      <c r="HL749" s="91"/>
      <c r="HM749" s="91"/>
      <c r="HN749" s="91"/>
      <c r="HO749" s="91"/>
      <c r="HP749" s="91"/>
      <c r="HQ749" s="91"/>
      <c r="HR749" s="91"/>
      <c r="HS749" s="91"/>
      <c r="HT749" s="91"/>
      <c r="HU749" s="91"/>
      <c r="HV749" s="91"/>
      <c r="HW749" s="91"/>
      <c r="HX749" s="91"/>
      <c r="HY749" s="91"/>
      <c r="HZ749" s="91"/>
      <c r="IA749" s="91"/>
      <c r="IB749" s="91"/>
      <c r="IC749" s="91"/>
      <c r="ID749" s="91"/>
      <c r="IE749" s="91"/>
    </row>
    <row r="750" spans="2:239" ht="15" x14ac:dyDescent="0.2">
      <c r="B750" s="91"/>
      <c r="C750" s="91"/>
      <c r="D750" s="91"/>
      <c r="E750" s="227"/>
      <c r="F750" s="91"/>
      <c r="G750" s="91"/>
      <c r="H750" s="91"/>
      <c r="I750" s="91"/>
      <c r="J750" s="91"/>
      <c r="K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c r="HV750" s="91"/>
      <c r="HW750" s="91"/>
      <c r="HX750" s="91"/>
      <c r="HY750" s="91"/>
      <c r="HZ750" s="91"/>
      <c r="IA750" s="91"/>
      <c r="IB750" s="91"/>
      <c r="IC750" s="91"/>
      <c r="ID750" s="91"/>
      <c r="IE750" s="91"/>
    </row>
    <row r="751" spans="2:239" ht="15" x14ac:dyDescent="0.2">
      <c r="B751" s="91"/>
      <c r="C751" s="91"/>
      <c r="D751" s="91"/>
      <c r="E751" s="227"/>
      <c r="F751" s="91"/>
      <c r="G751" s="91"/>
      <c r="H751" s="91"/>
      <c r="I751" s="91"/>
      <c r="J751" s="91"/>
      <c r="K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c r="GU751" s="91"/>
      <c r="GV751" s="91"/>
      <c r="GW751" s="91"/>
      <c r="GX751" s="91"/>
      <c r="GY751" s="91"/>
      <c r="GZ751" s="91"/>
      <c r="HA751" s="91"/>
      <c r="HB751" s="91"/>
      <c r="HC751" s="91"/>
      <c r="HD751" s="91"/>
      <c r="HE751" s="91"/>
      <c r="HF751" s="91"/>
      <c r="HG751" s="91"/>
      <c r="HH751" s="91"/>
      <c r="HI751" s="91"/>
      <c r="HJ751" s="91"/>
      <c r="HK751" s="91"/>
      <c r="HL751" s="91"/>
      <c r="HM751" s="91"/>
      <c r="HN751" s="91"/>
      <c r="HO751" s="91"/>
      <c r="HP751" s="91"/>
      <c r="HQ751" s="91"/>
      <c r="HR751" s="91"/>
      <c r="HS751" s="91"/>
      <c r="HT751" s="91"/>
      <c r="HU751" s="91"/>
      <c r="HV751" s="91"/>
      <c r="HW751" s="91"/>
      <c r="HX751" s="91"/>
      <c r="HY751" s="91"/>
      <c r="HZ751" s="91"/>
      <c r="IA751" s="91"/>
      <c r="IB751" s="91"/>
      <c r="IC751" s="91"/>
      <c r="ID751" s="91"/>
      <c r="IE751" s="91"/>
    </row>
    <row r="752" spans="2:239" ht="15" x14ac:dyDescent="0.2">
      <c r="B752" s="91"/>
      <c r="C752" s="91"/>
      <c r="D752" s="91"/>
      <c r="E752" s="227"/>
      <c r="F752" s="91"/>
      <c r="G752" s="91"/>
      <c r="H752" s="91"/>
      <c r="I752" s="91"/>
      <c r="J752" s="91"/>
      <c r="K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c r="HV752" s="91"/>
      <c r="HW752" s="91"/>
      <c r="HX752" s="91"/>
      <c r="HY752" s="91"/>
      <c r="HZ752" s="91"/>
      <c r="IA752" s="91"/>
      <c r="IB752" s="91"/>
      <c r="IC752" s="91"/>
      <c r="ID752" s="91"/>
      <c r="IE752" s="91"/>
    </row>
    <row r="753" spans="2:239" ht="15" x14ac:dyDescent="0.2">
      <c r="B753" s="91"/>
      <c r="C753" s="91"/>
      <c r="D753" s="91"/>
      <c r="E753" s="227"/>
      <c r="F753" s="91"/>
      <c r="G753" s="91"/>
      <c r="H753" s="91"/>
      <c r="I753" s="91"/>
      <c r="J753" s="91"/>
      <c r="K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c r="GU753" s="91"/>
      <c r="GV753" s="91"/>
      <c r="GW753" s="91"/>
      <c r="GX753" s="91"/>
      <c r="GY753" s="91"/>
      <c r="GZ753" s="91"/>
      <c r="HA753" s="91"/>
      <c r="HB753" s="91"/>
      <c r="HC753" s="91"/>
      <c r="HD753" s="91"/>
      <c r="HE753" s="91"/>
      <c r="HF753" s="91"/>
      <c r="HG753" s="91"/>
      <c r="HH753" s="91"/>
      <c r="HI753" s="91"/>
      <c r="HJ753" s="91"/>
      <c r="HK753" s="91"/>
      <c r="HL753" s="91"/>
      <c r="HM753" s="91"/>
      <c r="HN753" s="91"/>
      <c r="HO753" s="91"/>
      <c r="HP753" s="91"/>
      <c r="HQ753" s="91"/>
      <c r="HR753" s="91"/>
      <c r="HS753" s="91"/>
      <c r="HT753" s="91"/>
      <c r="HU753" s="91"/>
      <c r="HV753" s="91"/>
      <c r="HW753" s="91"/>
      <c r="HX753" s="91"/>
      <c r="HY753" s="91"/>
      <c r="HZ753" s="91"/>
      <c r="IA753" s="91"/>
      <c r="IB753" s="91"/>
      <c r="IC753" s="91"/>
      <c r="ID753" s="91"/>
      <c r="IE753" s="91"/>
    </row>
    <row r="754" spans="2:239" ht="15" x14ac:dyDescent="0.2">
      <c r="B754" s="91"/>
      <c r="C754" s="91"/>
      <c r="D754" s="91"/>
      <c r="E754" s="227"/>
      <c r="F754" s="91"/>
      <c r="G754" s="91"/>
      <c r="H754" s="91"/>
      <c r="I754" s="91"/>
      <c r="J754" s="91"/>
      <c r="K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c r="HV754" s="91"/>
      <c r="HW754" s="91"/>
      <c r="HX754" s="91"/>
      <c r="HY754" s="91"/>
      <c r="HZ754" s="91"/>
      <c r="IA754" s="91"/>
      <c r="IB754" s="91"/>
      <c r="IC754" s="91"/>
      <c r="ID754" s="91"/>
      <c r="IE754" s="91"/>
    </row>
    <row r="755" spans="2:239" ht="15" x14ac:dyDescent="0.2">
      <c r="B755" s="91"/>
      <c r="C755" s="91"/>
      <c r="D755" s="91"/>
      <c r="E755" s="227"/>
      <c r="F755" s="91"/>
      <c r="G755" s="91"/>
      <c r="H755" s="91"/>
      <c r="I755" s="91"/>
      <c r="J755" s="91"/>
      <c r="K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c r="GU755" s="91"/>
      <c r="GV755" s="91"/>
      <c r="GW755" s="91"/>
      <c r="GX755" s="91"/>
      <c r="GY755" s="91"/>
      <c r="GZ755" s="91"/>
      <c r="HA755" s="91"/>
      <c r="HB755" s="91"/>
      <c r="HC755" s="91"/>
      <c r="HD755" s="91"/>
      <c r="HE755" s="91"/>
      <c r="HF755" s="91"/>
      <c r="HG755" s="91"/>
      <c r="HH755" s="91"/>
      <c r="HI755" s="91"/>
      <c r="HJ755" s="91"/>
      <c r="HK755" s="91"/>
      <c r="HL755" s="91"/>
      <c r="HM755" s="91"/>
      <c r="HN755" s="91"/>
      <c r="HO755" s="91"/>
      <c r="HP755" s="91"/>
      <c r="HQ755" s="91"/>
      <c r="HR755" s="91"/>
      <c r="HS755" s="91"/>
      <c r="HT755" s="91"/>
      <c r="HU755" s="91"/>
      <c r="HV755" s="91"/>
      <c r="HW755" s="91"/>
      <c r="HX755" s="91"/>
      <c r="HY755" s="91"/>
      <c r="HZ755" s="91"/>
      <c r="IA755" s="91"/>
      <c r="IB755" s="91"/>
      <c r="IC755" s="91"/>
      <c r="ID755" s="91"/>
      <c r="IE755" s="91"/>
    </row>
    <row r="756" spans="2:239" ht="15" x14ac:dyDescent="0.2">
      <c r="B756" s="91"/>
      <c r="C756" s="91"/>
      <c r="D756" s="91"/>
      <c r="E756" s="227"/>
      <c r="F756" s="91"/>
      <c r="G756" s="91"/>
      <c r="H756" s="91"/>
      <c r="I756" s="91"/>
      <c r="J756" s="91"/>
      <c r="K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c r="HV756" s="91"/>
      <c r="HW756" s="91"/>
      <c r="HX756" s="91"/>
      <c r="HY756" s="91"/>
      <c r="HZ756" s="91"/>
      <c r="IA756" s="91"/>
      <c r="IB756" s="91"/>
      <c r="IC756" s="91"/>
      <c r="ID756" s="91"/>
      <c r="IE756" s="91"/>
    </row>
    <row r="757" spans="2:239" ht="15" x14ac:dyDescent="0.2">
      <c r="B757" s="91"/>
      <c r="C757" s="91"/>
      <c r="D757" s="91"/>
      <c r="E757" s="227"/>
      <c r="F757" s="91"/>
      <c r="G757" s="91"/>
      <c r="H757" s="91"/>
      <c r="I757" s="91"/>
      <c r="J757" s="91"/>
      <c r="K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c r="GU757" s="91"/>
      <c r="GV757" s="91"/>
      <c r="GW757" s="91"/>
      <c r="GX757" s="91"/>
      <c r="GY757" s="91"/>
      <c r="GZ757" s="91"/>
      <c r="HA757" s="91"/>
      <c r="HB757" s="91"/>
      <c r="HC757" s="91"/>
      <c r="HD757" s="91"/>
      <c r="HE757" s="91"/>
      <c r="HF757" s="91"/>
      <c r="HG757" s="91"/>
      <c r="HH757" s="91"/>
      <c r="HI757" s="91"/>
      <c r="HJ757" s="91"/>
      <c r="HK757" s="91"/>
      <c r="HL757" s="91"/>
      <c r="HM757" s="91"/>
      <c r="HN757" s="91"/>
      <c r="HO757" s="91"/>
      <c r="HP757" s="91"/>
      <c r="HQ757" s="91"/>
      <c r="HR757" s="91"/>
      <c r="HS757" s="91"/>
      <c r="HT757" s="91"/>
      <c r="HU757" s="91"/>
      <c r="HV757" s="91"/>
      <c r="HW757" s="91"/>
      <c r="HX757" s="91"/>
      <c r="HY757" s="91"/>
      <c r="HZ757" s="91"/>
      <c r="IA757" s="91"/>
      <c r="IB757" s="91"/>
      <c r="IC757" s="91"/>
      <c r="ID757" s="91"/>
      <c r="IE757" s="91"/>
    </row>
    <row r="758" spans="2:239" ht="15" x14ac:dyDescent="0.2">
      <c r="B758" s="91"/>
      <c r="C758" s="91"/>
      <c r="D758" s="91"/>
      <c r="E758" s="227"/>
      <c r="F758" s="91"/>
      <c r="G758" s="91"/>
      <c r="H758" s="91"/>
      <c r="I758" s="91"/>
      <c r="J758" s="91"/>
      <c r="K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c r="HV758" s="91"/>
      <c r="HW758" s="91"/>
      <c r="HX758" s="91"/>
      <c r="HY758" s="91"/>
      <c r="HZ758" s="91"/>
      <c r="IA758" s="91"/>
      <c r="IB758" s="91"/>
      <c r="IC758" s="91"/>
      <c r="ID758" s="91"/>
      <c r="IE758" s="91"/>
    </row>
    <row r="759" spans="2:239" ht="15" x14ac:dyDescent="0.2">
      <c r="B759" s="91"/>
      <c r="C759" s="91"/>
      <c r="D759" s="91"/>
      <c r="E759" s="227"/>
      <c r="F759" s="91"/>
      <c r="G759" s="91"/>
      <c r="H759" s="91"/>
      <c r="I759" s="91"/>
      <c r="J759" s="91"/>
      <c r="K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c r="HV759" s="91"/>
      <c r="HW759" s="91"/>
      <c r="HX759" s="91"/>
      <c r="HY759" s="91"/>
      <c r="HZ759" s="91"/>
      <c r="IA759" s="91"/>
      <c r="IB759" s="91"/>
      <c r="IC759" s="91"/>
      <c r="ID759" s="91"/>
      <c r="IE759" s="91"/>
    </row>
    <row r="760" spans="2:239" ht="15" x14ac:dyDescent="0.2">
      <c r="B760" s="91"/>
      <c r="C760" s="91"/>
      <c r="D760" s="91"/>
      <c r="E760" s="227"/>
      <c r="F760" s="91"/>
      <c r="G760" s="91"/>
      <c r="H760" s="91"/>
      <c r="I760" s="91"/>
      <c r="J760" s="91"/>
      <c r="K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c r="HV760" s="91"/>
      <c r="HW760" s="91"/>
      <c r="HX760" s="91"/>
      <c r="HY760" s="91"/>
      <c r="HZ760" s="91"/>
      <c r="IA760" s="91"/>
      <c r="IB760" s="91"/>
      <c r="IC760" s="91"/>
      <c r="ID760" s="91"/>
      <c r="IE760" s="91"/>
    </row>
    <row r="761" spans="2:239" ht="15" x14ac:dyDescent="0.2">
      <c r="B761" s="91"/>
      <c r="C761" s="91"/>
      <c r="D761" s="91"/>
      <c r="E761" s="227"/>
      <c r="F761" s="91"/>
      <c r="G761" s="91"/>
      <c r="H761" s="91"/>
      <c r="I761" s="91"/>
      <c r="J761" s="91"/>
      <c r="K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c r="GU761" s="91"/>
      <c r="GV761" s="91"/>
      <c r="GW761" s="91"/>
      <c r="GX761" s="91"/>
      <c r="GY761" s="91"/>
      <c r="GZ761" s="91"/>
      <c r="HA761" s="91"/>
      <c r="HB761" s="91"/>
      <c r="HC761" s="91"/>
      <c r="HD761" s="91"/>
      <c r="HE761" s="91"/>
      <c r="HF761" s="91"/>
      <c r="HG761" s="91"/>
      <c r="HH761" s="91"/>
      <c r="HI761" s="91"/>
      <c r="HJ761" s="91"/>
      <c r="HK761" s="91"/>
      <c r="HL761" s="91"/>
      <c r="HM761" s="91"/>
      <c r="HN761" s="91"/>
      <c r="HO761" s="91"/>
      <c r="HP761" s="91"/>
      <c r="HQ761" s="91"/>
      <c r="HR761" s="91"/>
      <c r="HS761" s="91"/>
      <c r="HT761" s="91"/>
      <c r="HU761" s="91"/>
      <c r="HV761" s="91"/>
      <c r="HW761" s="91"/>
      <c r="HX761" s="91"/>
      <c r="HY761" s="91"/>
      <c r="HZ761" s="91"/>
      <c r="IA761" s="91"/>
      <c r="IB761" s="91"/>
      <c r="IC761" s="91"/>
      <c r="ID761" s="91"/>
      <c r="IE761" s="91"/>
    </row>
    <row r="762" spans="2:239" ht="15" x14ac:dyDescent="0.2">
      <c r="B762" s="91"/>
      <c r="C762" s="91"/>
      <c r="D762" s="91"/>
      <c r="E762" s="227"/>
      <c r="F762" s="91"/>
      <c r="G762" s="91"/>
      <c r="H762" s="91"/>
      <c r="I762" s="91"/>
      <c r="J762" s="91"/>
      <c r="K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c r="HV762" s="91"/>
      <c r="HW762" s="91"/>
      <c r="HX762" s="91"/>
      <c r="HY762" s="91"/>
      <c r="HZ762" s="91"/>
      <c r="IA762" s="91"/>
      <c r="IB762" s="91"/>
      <c r="IC762" s="91"/>
      <c r="ID762" s="91"/>
      <c r="IE762" s="91"/>
    </row>
    <row r="763" spans="2:239" ht="15" x14ac:dyDescent="0.2">
      <c r="B763" s="91"/>
      <c r="C763" s="91"/>
      <c r="D763" s="91"/>
      <c r="E763" s="227"/>
      <c r="F763" s="91"/>
      <c r="G763" s="91"/>
      <c r="H763" s="91"/>
      <c r="I763" s="91"/>
      <c r="J763" s="91"/>
      <c r="K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c r="GU763" s="91"/>
      <c r="GV763" s="91"/>
      <c r="GW763" s="91"/>
      <c r="GX763" s="91"/>
      <c r="GY763" s="91"/>
      <c r="GZ763" s="91"/>
      <c r="HA763" s="91"/>
      <c r="HB763" s="91"/>
      <c r="HC763" s="91"/>
      <c r="HD763" s="91"/>
      <c r="HE763" s="91"/>
      <c r="HF763" s="91"/>
      <c r="HG763" s="91"/>
      <c r="HH763" s="91"/>
      <c r="HI763" s="91"/>
      <c r="HJ763" s="91"/>
      <c r="HK763" s="91"/>
      <c r="HL763" s="91"/>
      <c r="HM763" s="91"/>
      <c r="HN763" s="91"/>
      <c r="HO763" s="91"/>
      <c r="HP763" s="91"/>
      <c r="HQ763" s="91"/>
      <c r="HR763" s="91"/>
      <c r="HS763" s="91"/>
      <c r="HT763" s="91"/>
      <c r="HU763" s="91"/>
      <c r="HV763" s="91"/>
      <c r="HW763" s="91"/>
      <c r="HX763" s="91"/>
      <c r="HY763" s="91"/>
      <c r="HZ763" s="91"/>
      <c r="IA763" s="91"/>
      <c r="IB763" s="91"/>
      <c r="IC763" s="91"/>
      <c r="ID763" s="91"/>
      <c r="IE763" s="91"/>
    </row>
    <row r="764" spans="2:239" ht="15" x14ac:dyDescent="0.2">
      <c r="B764" s="91"/>
      <c r="C764" s="91"/>
      <c r="D764" s="91"/>
      <c r="E764" s="227"/>
      <c r="F764" s="91"/>
      <c r="G764" s="91"/>
      <c r="H764" s="91"/>
      <c r="I764" s="91"/>
      <c r="J764" s="91"/>
      <c r="K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c r="HV764" s="91"/>
      <c r="HW764" s="91"/>
      <c r="HX764" s="91"/>
      <c r="HY764" s="91"/>
      <c r="HZ764" s="91"/>
      <c r="IA764" s="91"/>
      <c r="IB764" s="91"/>
      <c r="IC764" s="91"/>
      <c r="ID764" s="91"/>
      <c r="IE764" s="91"/>
    </row>
    <row r="765" spans="2:239" ht="15" x14ac:dyDescent="0.2">
      <c r="B765" s="91"/>
      <c r="C765" s="91"/>
      <c r="D765" s="91"/>
      <c r="E765" s="227"/>
      <c r="F765" s="91"/>
      <c r="G765" s="91"/>
      <c r="H765" s="91"/>
      <c r="I765" s="91"/>
      <c r="J765" s="91"/>
      <c r="K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c r="GU765" s="91"/>
      <c r="GV765" s="91"/>
      <c r="GW765" s="91"/>
      <c r="GX765" s="91"/>
      <c r="GY765" s="91"/>
      <c r="GZ765" s="91"/>
      <c r="HA765" s="91"/>
      <c r="HB765" s="91"/>
      <c r="HC765" s="91"/>
      <c r="HD765" s="91"/>
      <c r="HE765" s="91"/>
      <c r="HF765" s="91"/>
      <c r="HG765" s="91"/>
      <c r="HH765" s="91"/>
      <c r="HI765" s="91"/>
      <c r="HJ765" s="91"/>
      <c r="HK765" s="91"/>
      <c r="HL765" s="91"/>
      <c r="HM765" s="91"/>
      <c r="HN765" s="91"/>
      <c r="HO765" s="91"/>
      <c r="HP765" s="91"/>
      <c r="HQ765" s="91"/>
      <c r="HR765" s="91"/>
      <c r="HS765" s="91"/>
      <c r="HT765" s="91"/>
      <c r="HU765" s="91"/>
      <c r="HV765" s="91"/>
      <c r="HW765" s="91"/>
      <c r="HX765" s="91"/>
      <c r="HY765" s="91"/>
      <c r="HZ765" s="91"/>
      <c r="IA765" s="91"/>
      <c r="IB765" s="91"/>
      <c r="IC765" s="91"/>
      <c r="ID765" s="91"/>
      <c r="IE765" s="91"/>
    </row>
    <row r="766" spans="2:239" ht="15" x14ac:dyDescent="0.2">
      <c r="B766" s="91"/>
      <c r="C766" s="91"/>
      <c r="D766" s="91"/>
      <c r="E766" s="227"/>
      <c r="F766" s="91"/>
      <c r="G766" s="91"/>
      <c r="H766" s="91"/>
      <c r="I766" s="91"/>
      <c r="J766" s="91"/>
      <c r="K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c r="HV766" s="91"/>
      <c r="HW766" s="91"/>
      <c r="HX766" s="91"/>
      <c r="HY766" s="91"/>
      <c r="HZ766" s="91"/>
      <c r="IA766" s="91"/>
      <c r="IB766" s="91"/>
      <c r="IC766" s="91"/>
      <c r="ID766" s="91"/>
      <c r="IE766" s="91"/>
    </row>
    <row r="767" spans="2:239" ht="15" x14ac:dyDescent="0.2">
      <c r="B767" s="91"/>
      <c r="C767" s="91"/>
      <c r="D767" s="91"/>
      <c r="E767" s="227"/>
      <c r="F767" s="91"/>
      <c r="G767" s="91"/>
      <c r="H767" s="91"/>
      <c r="I767" s="91"/>
      <c r="J767" s="91"/>
      <c r="K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c r="HV767" s="91"/>
      <c r="HW767" s="91"/>
      <c r="HX767" s="91"/>
      <c r="HY767" s="91"/>
      <c r="HZ767" s="91"/>
      <c r="IA767" s="91"/>
      <c r="IB767" s="91"/>
      <c r="IC767" s="91"/>
      <c r="ID767" s="91"/>
      <c r="IE767" s="91"/>
    </row>
    <row r="768" spans="2:239" ht="15" x14ac:dyDescent="0.2">
      <c r="B768" s="91"/>
      <c r="C768" s="91"/>
      <c r="D768" s="91"/>
      <c r="E768" s="227"/>
      <c r="F768" s="91"/>
      <c r="G768" s="91"/>
      <c r="H768" s="91"/>
      <c r="I768" s="91"/>
      <c r="J768" s="91"/>
      <c r="K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c r="HV768" s="91"/>
      <c r="HW768" s="91"/>
      <c r="HX768" s="91"/>
      <c r="HY768" s="91"/>
      <c r="HZ768" s="91"/>
      <c r="IA768" s="91"/>
      <c r="IB768" s="91"/>
      <c r="IC768" s="91"/>
      <c r="ID768" s="91"/>
      <c r="IE768" s="91"/>
    </row>
    <row r="769" spans="2:239" ht="15" x14ac:dyDescent="0.2">
      <c r="B769" s="91"/>
      <c r="C769" s="91"/>
      <c r="D769" s="91"/>
      <c r="E769" s="227"/>
      <c r="F769" s="91"/>
      <c r="G769" s="91"/>
      <c r="H769" s="91"/>
      <c r="I769" s="91"/>
      <c r="J769" s="91"/>
      <c r="K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c r="GU769" s="91"/>
      <c r="GV769" s="91"/>
      <c r="GW769" s="91"/>
      <c r="GX769" s="91"/>
      <c r="GY769" s="91"/>
      <c r="GZ769" s="91"/>
      <c r="HA769" s="91"/>
      <c r="HB769" s="91"/>
      <c r="HC769" s="91"/>
      <c r="HD769" s="91"/>
      <c r="HE769" s="91"/>
      <c r="HF769" s="91"/>
      <c r="HG769" s="91"/>
      <c r="HH769" s="91"/>
      <c r="HI769" s="91"/>
      <c r="HJ769" s="91"/>
      <c r="HK769" s="91"/>
      <c r="HL769" s="91"/>
      <c r="HM769" s="91"/>
      <c r="HN769" s="91"/>
      <c r="HO769" s="91"/>
      <c r="HP769" s="91"/>
      <c r="HQ769" s="91"/>
      <c r="HR769" s="91"/>
      <c r="HS769" s="91"/>
      <c r="HT769" s="91"/>
      <c r="HU769" s="91"/>
      <c r="HV769" s="91"/>
      <c r="HW769" s="91"/>
      <c r="HX769" s="91"/>
      <c r="HY769" s="91"/>
      <c r="HZ769" s="91"/>
      <c r="IA769" s="91"/>
      <c r="IB769" s="91"/>
      <c r="IC769" s="91"/>
      <c r="ID769" s="91"/>
      <c r="IE769" s="91"/>
    </row>
    <row r="770" spans="2:239" ht="15" x14ac:dyDescent="0.2">
      <c r="B770" s="91"/>
      <c r="C770" s="91"/>
      <c r="D770" s="91"/>
      <c r="E770" s="227"/>
      <c r="F770" s="91"/>
      <c r="G770" s="91"/>
      <c r="H770" s="91"/>
      <c r="I770" s="91"/>
      <c r="J770" s="91"/>
      <c r="K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c r="HV770" s="91"/>
      <c r="HW770" s="91"/>
      <c r="HX770" s="91"/>
      <c r="HY770" s="91"/>
      <c r="HZ770" s="91"/>
      <c r="IA770" s="91"/>
      <c r="IB770" s="91"/>
      <c r="IC770" s="91"/>
      <c r="ID770" s="91"/>
      <c r="IE770" s="91"/>
    </row>
    <row r="771" spans="2:239" ht="15" x14ac:dyDescent="0.2">
      <c r="B771" s="91"/>
      <c r="C771" s="91"/>
      <c r="D771" s="91"/>
      <c r="E771" s="227"/>
      <c r="F771" s="91"/>
      <c r="G771" s="91"/>
      <c r="H771" s="91"/>
      <c r="I771" s="91"/>
      <c r="J771" s="91"/>
      <c r="K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c r="GU771" s="91"/>
      <c r="GV771" s="91"/>
      <c r="GW771" s="91"/>
      <c r="GX771" s="91"/>
      <c r="GY771" s="91"/>
      <c r="GZ771" s="91"/>
      <c r="HA771" s="91"/>
      <c r="HB771" s="91"/>
      <c r="HC771" s="91"/>
      <c r="HD771" s="91"/>
      <c r="HE771" s="91"/>
      <c r="HF771" s="91"/>
      <c r="HG771" s="91"/>
      <c r="HH771" s="91"/>
      <c r="HI771" s="91"/>
      <c r="HJ771" s="91"/>
      <c r="HK771" s="91"/>
      <c r="HL771" s="91"/>
      <c r="HM771" s="91"/>
      <c r="HN771" s="91"/>
      <c r="HO771" s="91"/>
      <c r="HP771" s="91"/>
      <c r="HQ771" s="91"/>
      <c r="HR771" s="91"/>
      <c r="HS771" s="91"/>
      <c r="HT771" s="91"/>
      <c r="HU771" s="91"/>
      <c r="HV771" s="91"/>
      <c r="HW771" s="91"/>
      <c r="HX771" s="91"/>
      <c r="HY771" s="91"/>
      <c r="HZ771" s="91"/>
      <c r="IA771" s="91"/>
      <c r="IB771" s="91"/>
      <c r="IC771" s="91"/>
      <c r="ID771" s="91"/>
      <c r="IE771" s="91"/>
    </row>
    <row r="772" spans="2:239" ht="15" x14ac:dyDescent="0.2">
      <c r="B772" s="91"/>
      <c r="C772" s="91"/>
      <c r="D772" s="91"/>
      <c r="E772" s="227"/>
      <c r="F772" s="91"/>
      <c r="G772" s="91"/>
      <c r="H772" s="91"/>
      <c r="I772" s="91"/>
      <c r="J772" s="91"/>
      <c r="K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c r="HV772" s="91"/>
      <c r="HW772" s="91"/>
      <c r="HX772" s="91"/>
      <c r="HY772" s="91"/>
      <c r="HZ772" s="91"/>
      <c r="IA772" s="91"/>
      <c r="IB772" s="91"/>
      <c r="IC772" s="91"/>
      <c r="ID772" s="91"/>
      <c r="IE772" s="91"/>
    </row>
    <row r="773" spans="2:239" ht="15" x14ac:dyDescent="0.2">
      <c r="B773" s="91"/>
      <c r="C773" s="91"/>
      <c r="D773" s="91"/>
      <c r="E773" s="227"/>
      <c r="F773" s="91"/>
      <c r="G773" s="91"/>
      <c r="H773" s="91"/>
      <c r="I773" s="91"/>
      <c r="J773" s="91"/>
      <c r="K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c r="GU773" s="91"/>
      <c r="GV773" s="91"/>
      <c r="GW773" s="91"/>
      <c r="GX773" s="91"/>
      <c r="GY773" s="91"/>
      <c r="GZ773" s="91"/>
      <c r="HA773" s="91"/>
      <c r="HB773" s="91"/>
      <c r="HC773" s="91"/>
      <c r="HD773" s="91"/>
      <c r="HE773" s="91"/>
      <c r="HF773" s="91"/>
      <c r="HG773" s="91"/>
      <c r="HH773" s="91"/>
      <c r="HI773" s="91"/>
      <c r="HJ773" s="91"/>
      <c r="HK773" s="91"/>
      <c r="HL773" s="91"/>
      <c r="HM773" s="91"/>
      <c r="HN773" s="91"/>
      <c r="HO773" s="91"/>
      <c r="HP773" s="91"/>
      <c r="HQ773" s="91"/>
      <c r="HR773" s="91"/>
      <c r="HS773" s="91"/>
      <c r="HT773" s="91"/>
      <c r="HU773" s="91"/>
      <c r="HV773" s="91"/>
      <c r="HW773" s="91"/>
      <c r="HX773" s="91"/>
      <c r="HY773" s="91"/>
      <c r="HZ773" s="91"/>
      <c r="IA773" s="91"/>
      <c r="IB773" s="91"/>
      <c r="IC773" s="91"/>
      <c r="ID773" s="91"/>
      <c r="IE773" s="91"/>
    </row>
    <row r="774" spans="2:239" ht="15" x14ac:dyDescent="0.2">
      <c r="B774" s="91"/>
      <c r="C774" s="91"/>
      <c r="D774" s="91"/>
      <c r="E774" s="227"/>
      <c r="F774" s="91"/>
      <c r="G774" s="91"/>
      <c r="H774" s="91"/>
      <c r="I774" s="91"/>
      <c r="J774" s="91"/>
      <c r="K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c r="HV774" s="91"/>
      <c r="HW774" s="91"/>
      <c r="HX774" s="91"/>
      <c r="HY774" s="91"/>
      <c r="HZ774" s="91"/>
      <c r="IA774" s="91"/>
      <c r="IB774" s="91"/>
      <c r="IC774" s="91"/>
      <c r="ID774" s="91"/>
      <c r="IE774" s="91"/>
    </row>
    <row r="775" spans="2:239" ht="15" x14ac:dyDescent="0.2">
      <c r="B775" s="91"/>
      <c r="C775" s="91"/>
      <c r="D775" s="91"/>
      <c r="E775" s="227"/>
      <c r="F775" s="91"/>
      <c r="G775" s="91"/>
      <c r="H775" s="91"/>
      <c r="I775" s="91"/>
      <c r="J775" s="91"/>
      <c r="K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c r="GU775" s="91"/>
      <c r="GV775" s="91"/>
      <c r="GW775" s="91"/>
      <c r="GX775" s="91"/>
      <c r="GY775" s="91"/>
      <c r="GZ775" s="91"/>
      <c r="HA775" s="91"/>
      <c r="HB775" s="91"/>
      <c r="HC775" s="91"/>
      <c r="HD775" s="91"/>
      <c r="HE775" s="91"/>
      <c r="HF775" s="91"/>
      <c r="HG775" s="91"/>
      <c r="HH775" s="91"/>
      <c r="HI775" s="91"/>
      <c r="HJ775" s="91"/>
      <c r="HK775" s="91"/>
      <c r="HL775" s="91"/>
      <c r="HM775" s="91"/>
      <c r="HN775" s="91"/>
      <c r="HO775" s="91"/>
      <c r="HP775" s="91"/>
      <c r="HQ775" s="91"/>
      <c r="HR775" s="91"/>
      <c r="HS775" s="91"/>
      <c r="HT775" s="91"/>
      <c r="HU775" s="91"/>
      <c r="HV775" s="91"/>
      <c r="HW775" s="91"/>
      <c r="HX775" s="91"/>
      <c r="HY775" s="91"/>
      <c r="HZ775" s="91"/>
      <c r="IA775" s="91"/>
      <c r="IB775" s="91"/>
      <c r="IC775" s="91"/>
      <c r="ID775" s="91"/>
      <c r="IE775" s="91"/>
    </row>
    <row r="776" spans="2:239" ht="15" x14ac:dyDescent="0.2">
      <c r="B776" s="91"/>
      <c r="C776" s="91"/>
      <c r="D776" s="91"/>
      <c r="E776" s="227"/>
      <c r="F776" s="91"/>
      <c r="G776" s="91"/>
      <c r="H776" s="91"/>
      <c r="I776" s="91"/>
      <c r="J776" s="91"/>
      <c r="K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c r="GU776" s="91"/>
      <c r="GV776" s="91"/>
      <c r="GW776" s="91"/>
      <c r="GX776" s="91"/>
      <c r="GY776" s="91"/>
      <c r="GZ776" s="91"/>
      <c r="HA776" s="91"/>
      <c r="HB776" s="91"/>
      <c r="HC776" s="91"/>
      <c r="HD776" s="91"/>
      <c r="HE776" s="91"/>
      <c r="HF776" s="91"/>
      <c r="HG776" s="91"/>
      <c r="HH776" s="91"/>
      <c r="HI776" s="91"/>
      <c r="HJ776" s="91"/>
      <c r="HK776" s="91"/>
      <c r="HL776" s="91"/>
      <c r="HM776" s="91"/>
      <c r="HN776" s="91"/>
      <c r="HO776" s="91"/>
      <c r="HP776" s="91"/>
      <c r="HQ776" s="91"/>
      <c r="HR776" s="91"/>
      <c r="HS776" s="91"/>
      <c r="HT776" s="91"/>
      <c r="HU776" s="91"/>
      <c r="HV776" s="91"/>
      <c r="HW776" s="91"/>
      <c r="HX776" s="91"/>
      <c r="HY776" s="91"/>
      <c r="HZ776" s="91"/>
      <c r="IA776" s="91"/>
      <c r="IB776" s="91"/>
      <c r="IC776" s="91"/>
      <c r="ID776" s="91"/>
      <c r="IE776" s="91"/>
    </row>
    <row r="777" spans="2:239" ht="15" x14ac:dyDescent="0.2">
      <c r="B777" s="91"/>
      <c r="C777" s="91"/>
      <c r="D777" s="91"/>
      <c r="E777" s="227"/>
      <c r="F777" s="91"/>
      <c r="G777" s="91"/>
      <c r="H777" s="91"/>
      <c r="I777" s="91"/>
      <c r="J777" s="91"/>
      <c r="K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row>
    <row r="778" spans="2:239" ht="15" x14ac:dyDescent="0.2">
      <c r="B778" s="91"/>
      <c r="C778" s="91"/>
      <c r="D778" s="91"/>
      <c r="E778" s="227"/>
      <c r="F778" s="91"/>
      <c r="G778" s="91"/>
      <c r="H778" s="91"/>
      <c r="I778" s="91"/>
      <c r="J778" s="91"/>
      <c r="K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c r="HV778" s="91"/>
      <c r="HW778" s="91"/>
      <c r="HX778" s="91"/>
      <c r="HY778" s="91"/>
      <c r="HZ778" s="91"/>
      <c r="IA778" s="91"/>
      <c r="IB778" s="91"/>
      <c r="IC778" s="91"/>
      <c r="ID778" s="91"/>
      <c r="IE778" s="91"/>
    </row>
    <row r="779" spans="2:239" ht="15" x14ac:dyDescent="0.2">
      <c r="B779" s="91"/>
      <c r="C779" s="91"/>
      <c r="D779" s="91"/>
      <c r="E779" s="227"/>
      <c r="F779" s="91"/>
      <c r="G779" s="91"/>
      <c r="H779" s="91"/>
      <c r="I779" s="91"/>
      <c r="J779" s="91"/>
      <c r="K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c r="GU779" s="91"/>
      <c r="GV779" s="91"/>
      <c r="GW779" s="91"/>
      <c r="GX779" s="91"/>
      <c r="GY779" s="91"/>
      <c r="GZ779" s="91"/>
      <c r="HA779" s="91"/>
      <c r="HB779" s="91"/>
      <c r="HC779" s="91"/>
      <c r="HD779" s="91"/>
      <c r="HE779" s="91"/>
      <c r="HF779" s="91"/>
      <c r="HG779" s="91"/>
      <c r="HH779" s="91"/>
      <c r="HI779" s="91"/>
      <c r="HJ779" s="91"/>
      <c r="HK779" s="91"/>
      <c r="HL779" s="91"/>
      <c r="HM779" s="91"/>
      <c r="HN779" s="91"/>
      <c r="HO779" s="91"/>
      <c r="HP779" s="91"/>
      <c r="HQ779" s="91"/>
      <c r="HR779" s="91"/>
      <c r="HS779" s="91"/>
      <c r="HT779" s="91"/>
      <c r="HU779" s="91"/>
      <c r="HV779" s="91"/>
      <c r="HW779" s="91"/>
      <c r="HX779" s="91"/>
      <c r="HY779" s="91"/>
      <c r="HZ779" s="91"/>
      <c r="IA779" s="91"/>
      <c r="IB779" s="91"/>
      <c r="IC779" s="91"/>
      <c r="ID779" s="91"/>
      <c r="IE779" s="91"/>
    </row>
    <row r="780" spans="2:239" ht="15" x14ac:dyDescent="0.2">
      <c r="B780" s="91"/>
      <c r="C780" s="91"/>
      <c r="D780" s="91"/>
      <c r="E780" s="227"/>
      <c r="F780" s="91"/>
      <c r="G780" s="91"/>
      <c r="H780" s="91"/>
      <c r="I780" s="91"/>
      <c r="J780" s="91"/>
      <c r="K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c r="GU780" s="91"/>
      <c r="GV780" s="91"/>
      <c r="GW780" s="91"/>
      <c r="GX780" s="91"/>
      <c r="GY780" s="91"/>
      <c r="GZ780" s="91"/>
      <c r="HA780" s="91"/>
      <c r="HB780" s="91"/>
      <c r="HC780" s="91"/>
      <c r="HD780" s="91"/>
      <c r="HE780" s="91"/>
      <c r="HF780" s="91"/>
      <c r="HG780" s="91"/>
      <c r="HH780" s="91"/>
      <c r="HI780" s="91"/>
      <c r="HJ780" s="91"/>
      <c r="HK780" s="91"/>
      <c r="HL780" s="91"/>
      <c r="HM780" s="91"/>
      <c r="HN780" s="91"/>
      <c r="HO780" s="91"/>
      <c r="HP780" s="91"/>
      <c r="HQ780" s="91"/>
      <c r="HR780" s="91"/>
      <c r="HS780" s="91"/>
      <c r="HT780" s="91"/>
      <c r="HU780" s="91"/>
      <c r="HV780" s="91"/>
      <c r="HW780" s="91"/>
      <c r="HX780" s="91"/>
      <c r="HY780" s="91"/>
      <c r="HZ780" s="91"/>
      <c r="IA780" s="91"/>
      <c r="IB780" s="91"/>
      <c r="IC780" s="91"/>
      <c r="ID780" s="91"/>
      <c r="IE780" s="91"/>
    </row>
    <row r="781" spans="2:239" ht="15" x14ac:dyDescent="0.2">
      <c r="B781" s="91"/>
      <c r="C781" s="91"/>
      <c r="D781" s="91"/>
      <c r="E781" s="227"/>
      <c r="F781" s="91"/>
      <c r="G781" s="91"/>
      <c r="H781" s="91"/>
      <c r="I781" s="91"/>
      <c r="J781" s="91"/>
      <c r="K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c r="GU781" s="91"/>
      <c r="GV781" s="91"/>
      <c r="GW781" s="91"/>
      <c r="GX781" s="91"/>
      <c r="GY781" s="91"/>
      <c r="GZ781" s="91"/>
      <c r="HA781" s="91"/>
      <c r="HB781" s="91"/>
      <c r="HC781" s="91"/>
      <c r="HD781" s="91"/>
      <c r="HE781" s="91"/>
      <c r="HF781" s="91"/>
      <c r="HG781" s="91"/>
      <c r="HH781" s="91"/>
      <c r="HI781" s="91"/>
      <c r="HJ781" s="91"/>
      <c r="HK781" s="91"/>
      <c r="HL781" s="91"/>
      <c r="HM781" s="91"/>
      <c r="HN781" s="91"/>
      <c r="HO781" s="91"/>
      <c r="HP781" s="91"/>
      <c r="HQ781" s="91"/>
      <c r="HR781" s="91"/>
      <c r="HS781" s="91"/>
      <c r="HT781" s="91"/>
      <c r="HU781" s="91"/>
      <c r="HV781" s="91"/>
      <c r="HW781" s="91"/>
      <c r="HX781" s="91"/>
      <c r="HY781" s="91"/>
      <c r="HZ781" s="91"/>
      <c r="IA781" s="91"/>
      <c r="IB781" s="91"/>
      <c r="IC781" s="91"/>
      <c r="ID781" s="91"/>
      <c r="IE781" s="91"/>
    </row>
    <row r="782" spans="2:239" ht="15" x14ac:dyDescent="0.2">
      <c r="B782" s="91"/>
      <c r="C782" s="91"/>
      <c r="D782" s="91"/>
      <c r="E782" s="227"/>
      <c r="F782" s="91"/>
      <c r="G782" s="91"/>
      <c r="H782" s="91"/>
      <c r="I782" s="91"/>
      <c r="J782" s="91"/>
      <c r="K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c r="HV782" s="91"/>
      <c r="HW782" s="91"/>
      <c r="HX782" s="91"/>
      <c r="HY782" s="91"/>
      <c r="HZ782" s="91"/>
      <c r="IA782" s="91"/>
      <c r="IB782" s="91"/>
      <c r="IC782" s="91"/>
      <c r="ID782" s="91"/>
      <c r="IE782" s="91"/>
    </row>
    <row r="783" spans="2:239" ht="15" x14ac:dyDescent="0.2">
      <c r="B783" s="91"/>
      <c r="C783" s="91"/>
      <c r="D783" s="91"/>
      <c r="E783" s="227"/>
      <c r="F783" s="91"/>
      <c r="G783" s="91"/>
      <c r="H783" s="91"/>
      <c r="I783" s="91"/>
      <c r="J783" s="91"/>
      <c r="K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c r="HV783" s="91"/>
      <c r="HW783" s="91"/>
      <c r="HX783" s="91"/>
      <c r="HY783" s="91"/>
      <c r="HZ783" s="91"/>
      <c r="IA783" s="91"/>
      <c r="IB783" s="91"/>
      <c r="IC783" s="91"/>
      <c r="ID783" s="91"/>
      <c r="IE783" s="91"/>
    </row>
    <row r="784" spans="2:239" ht="15" x14ac:dyDescent="0.2">
      <c r="B784" s="91"/>
      <c r="C784" s="91"/>
      <c r="D784" s="91"/>
      <c r="E784" s="227"/>
      <c r="F784" s="91"/>
      <c r="G784" s="91"/>
      <c r="H784" s="91"/>
      <c r="I784" s="91"/>
      <c r="J784" s="91"/>
      <c r="K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c r="GU784" s="91"/>
      <c r="GV784" s="91"/>
      <c r="GW784" s="91"/>
      <c r="GX784" s="91"/>
      <c r="GY784" s="91"/>
      <c r="GZ784" s="91"/>
      <c r="HA784" s="91"/>
      <c r="HB784" s="91"/>
      <c r="HC784" s="91"/>
      <c r="HD784" s="91"/>
      <c r="HE784" s="91"/>
      <c r="HF784" s="91"/>
      <c r="HG784" s="91"/>
      <c r="HH784" s="91"/>
      <c r="HI784" s="91"/>
      <c r="HJ784" s="91"/>
      <c r="HK784" s="91"/>
      <c r="HL784" s="91"/>
      <c r="HM784" s="91"/>
      <c r="HN784" s="91"/>
      <c r="HO784" s="91"/>
      <c r="HP784" s="91"/>
      <c r="HQ784" s="91"/>
      <c r="HR784" s="91"/>
      <c r="HS784" s="91"/>
      <c r="HT784" s="91"/>
      <c r="HU784" s="91"/>
      <c r="HV784" s="91"/>
      <c r="HW784" s="91"/>
      <c r="HX784" s="91"/>
      <c r="HY784" s="91"/>
      <c r="HZ784" s="91"/>
      <c r="IA784" s="91"/>
      <c r="IB784" s="91"/>
      <c r="IC784" s="91"/>
      <c r="ID784" s="91"/>
      <c r="IE784" s="91"/>
    </row>
    <row r="785" spans="2:239" ht="15" x14ac:dyDescent="0.2">
      <c r="B785" s="91"/>
      <c r="C785" s="91"/>
      <c r="D785" s="91"/>
      <c r="E785" s="227"/>
      <c r="F785" s="91"/>
      <c r="G785" s="91"/>
      <c r="H785" s="91"/>
      <c r="I785" s="91"/>
      <c r="J785" s="91"/>
      <c r="K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c r="GU785" s="91"/>
      <c r="GV785" s="91"/>
      <c r="GW785" s="91"/>
      <c r="GX785" s="91"/>
      <c r="GY785" s="91"/>
      <c r="GZ785" s="91"/>
      <c r="HA785" s="91"/>
      <c r="HB785" s="91"/>
      <c r="HC785" s="91"/>
      <c r="HD785" s="91"/>
      <c r="HE785" s="91"/>
      <c r="HF785" s="91"/>
      <c r="HG785" s="91"/>
      <c r="HH785" s="91"/>
      <c r="HI785" s="91"/>
      <c r="HJ785" s="91"/>
      <c r="HK785" s="91"/>
      <c r="HL785" s="91"/>
      <c r="HM785" s="91"/>
      <c r="HN785" s="91"/>
      <c r="HO785" s="91"/>
      <c r="HP785" s="91"/>
      <c r="HQ785" s="91"/>
      <c r="HR785" s="91"/>
      <c r="HS785" s="91"/>
      <c r="HT785" s="91"/>
      <c r="HU785" s="91"/>
      <c r="HV785" s="91"/>
      <c r="HW785" s="91"/>
      <c r="HX785" s="91"/>
      <c r="HY785" s="91"/>
      <c r="HZ785" s="91"/>
      <c r="IA785" s="91"/>
      <c r="IB785" s="91"/>
      <c r="IC785" s="91"/>
      <c r="ID785" s="91"/>
      <c r="IE785" s="91"/>
    </row>
    <row r="786" spans="2:239" ht="15" x14ac:dyDescent="0.2">
      <c r="B786" s="91"/>
      <c r="C786" s="91"/>
      <c r="D786" s="91"/>
      <c r="E786" s="227"/>
      <c r="F786" s="91"/>
      <c r="G786" s="91"/>
      <c r="H786" s="91"/>
      <c r="I786" s="91"/>
      <c r="J786" s="91"/>
      <c r="K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c r="HV786" s="91"/>
      <c r="HW786" s="91"/>
      <c r="HX786" s="91"/>
      <c r="HY786" s="91"/>
      <c r="HZ786" s="91"/>
      <c r="IA786" s="91"/>
      <c r="IB786" s="91"/>
      <c r="IC786" s="91"/>
      <c r="ID786" s="91"/>
      <c r="IE786" s="91"/>
    </row>
    <row r="787" spans="2:239" ht="15" x14ac:dyDescent="0.2">
      <c r="B787" s="91"/>
      <c r="C787" s="91"/>
      <c r="D787" s="91"/>
      <c r="E787" s="227"/>
      <c r="F787" s="91"/>
      <c r="G787" s="91"/>
      <c r="H787" s="91"/>
      <c r="I787" s="91"/>
      <c r="J787" s="91"/>
      <c r="K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c r="HV787" s="91"/>
      <c r="HW787" s="91"/>
      <c r="HX787" s="91"/>
      <c r="HY787" s="91"/>
      <c r="HZ787" s="91"/>
      <c r="IA787" s="91"/>
      <c r="IB787" s="91"/>
      <c r="IC787" s="91"/>
      <c r="ID787" s="91"/>
      <c r="IE787" s="91"/>
    </row>
    <row r="788" spans="2:239" ht="15" x14ac:dyDescent="0.2">
      <c r="B788" s="91"/>
      <c r="C788" s="91"/>
      <c r="D788" s="91"/>
      <c r="E788" s="227"/>
      <c r="F788" s="91"/>
      <c r="G788" s="91"/>
      <c r="H788" s="91"/>
      <c r="I788" s="91"/>
      <c r="J788" s="91"/>
      <c r="K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c r="HV788" s="91"/>
      <c r="HW788" s="91"/>
      <c r="HX788" s="91"/>
      <c r="HY788" s="91"/>
      <c r="HZ788" s="91"/>
      <c r="IA788" s="91"/>
      <c r="IB788" s="91"/>
      <c r="IC788" s="91"/>
      <c r="ID788" s="91"/>
      <c r="IE788" s="91"/>
    </row>
    <row r="789" spans="2:239" ht="15" x14ac:dyDescent="0.2">
      <c r="B789" s="91"/>
      <c r="C789" s="91"/>
      <c r="D789" s="91"/>
      <c r="E789" s="227"/>
      <c r="F789" s="91"/>
      <c r="G789" s="91"/>
      <c r="H789" s="91"/>
      <c r="I789" s="91"/>
      <c r="J789" s="91"/>
      <c r="K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c r="HV789" s="91"/>
      <c r="HW789" s="91"/>
      <c r="HX789" s="91"/>
      <c r="HY789" s="91"/>
      <c r="HZ789" s="91"/>
      <c r="IA789" s="91"/>
      <c r="IB789" s="91"/>
      <c r="IC789" s="91"/>
      <c r="ID789" s="91"/>
      <c r="IE789" s="91"/>
    </row>
    <row r="790" spans="2:239" ht="15" x14ac:dyDescent="0.2">
      <c r="B790" s="91"/>
      <c r="C790" s="91"/>
      <c r="D790" s="91"/>
      <c r="E790" s="227"/>
      <c r="F790" s="91"/>
      <c r="G790" s="91"/>
      <c r="H790" s="91"/>
      <c r="I790" s="91"/>
      <c r="J790" s="91"/>
      <c r="K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c r="GU790" s="91"/>
      <c r="GV790" s="91"/>
      <c r="GW790" s="91"/>
      <c r="GX790" s="91"/>
      <c r="GY790" s="91"/>
      <c r="GZ790" s="91"/>
      <c r="HA790" s="91"/>
      <c r="HB790" s="91"/>
      <c r="HC790" s="91"/>
      <c r="HD790" s="91"/>
      <c r="HE790" s="91"/>
      <c r="HF790" s="91"/>
      <c r="HG790" s="91"/>
      <c r="HH790" s="91"/>
      <c r="HI790" s="91"/>
      <c r="HJ790" s="91"/>
      <c r="HK790" s="91"/>
      <c r="HL790" s="91"/>
      <c r="HM790" s="91"/>
      <c r="HN790" s="91"/>
      <c r="HO790" s="91"/>
      <c r="HP790" s="91"/>
      <c r="HQ790" s="91"/>
      <c r="HR790" s="91"/>
      <c r="HS790" s="91"/>
      <c r="HT790" s="91"/>
      <c r="HU790" s="91"/>
      <c r="HV790" s="91"/>
      <c r="HW790" s="91"/>
      <c r="HX790" s="91"/>
      <c r="HY790" s="91"/>
      <c r="HZ790" s="91"/>
      <c r="IA790" s="91"/>
      <c r="IB790" s="91"/>
      <c r="IC790" s="91"/>
      <c r="ID790" s="91"/>
      <c r="IE790" s="91"/>
    </row>
    <row r="791" spans="2:239" ht="15" x14ac:dyDescent="0.2">
      <c r="B791" s="91"/>
      <c r="C791" s="91"/>
      <c r="D791" s="91"/>
      <c r="E791" s="227"/>
      <c r="F791" s="91"/>
      <c r="G791" s="91"/>
      <c r="H791" s="91"/>
      <c r="I791" s="91"/>
      <c r="J791" s="91"/>
      <c r="K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c r="GU791" s="91"/>
      <c r="GV791" s="91"/>
      <c r="GW791" s="91"/>
      <c r="GX791" s="91"/>
      <c r="GY791" s="91"/>
      <c r="GZ791" s="91"/>
      <c r="HA791" s="91"/>
      <c r="HB791" s="91"/>
      <c r="HC791" s="91"/>
      <c r="HD791" s="91"/>
      <c r="HE791" s="91"/>
      <c r="HF791" s="91"/>
      <c r="HG791" s="91"/>
      <c r="HH791" s="91"/>
      <c r="HI791" s="91"/>
      <c r="HJ791" s="91"/>
      <c r="HK791" s="91"/>
      <c r="HL791" s="91"/>
      <c r="HM791" s="91"/>
      <c r="HN791" s="91"/>
      <c r="HO791" s="91"/>
      <c r="HP791" s="91"/>
      <c r="HQ791" s="91"/>
      <c r="HR791" s="91"/>
      <c r="HS791" s="91"/>
      <c r="HT791" s="91"/>
      <c r="HU791" s="91"/>
      <c r="HV791" s="91"/>
      <c r="HW791" s="91"/>
      <c r="HX791" s="91"/>
      <c r="HY791" s="91"/>
      <c r="HZ791" s="91"/>
      <c r="IA791" s="91"/>
      <c r="IB791" s="91"/>
      <c r="IC791" s="91"/>
      <c r="ID791" s="91"/>
      <c r="IE791" s="91"/>
    </row>
    <row r="792" spans="2:239" ht="15" x14ac:dyDescent="0.2">
      <c r="B792" s="91"/>
      <c r="C792" s="91"/>
      <c r="D792" s="91"/>
      <c r="E792" s="227"/>
      <c r="F792" s="91"/>
      <c r="G792" s="91"/>
      <c r="H792" s="91"/>
      <c r="I792" s="91"/>
      <c r="J792" s="91"/>
      <c r="K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row>
    <row r="793" spans="2:239" ht="15" x14ac:dyDescent="0.2">
      <c r="B793" s="91"/>
      <c r="C793" s="91"/>
      <c r="D793" s="91"/>
      <c r="E793" s="227"/>
      <c r="F793" s="91"/>
      <c r="G793" s="91"/>
      <c r="H793" s="91"/>
      <c r="I793" s="91"/>
      <c r="J793" s="91"/>
      <c r="K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c r="GU793" s="91"/>
      <c r="GV793" s="91"/>
      <c r="GW793" s="91"/>
      <c r="GX793" s="91"/>
      <c r="GY793" s="91"/>
      <c r="GZ793" s="91"/>
      <c r="HA793" s="91"/>
      <c r="HB793" s="91"/>
      <c r="HC793" s="91"/>
      <c r="HD793" s="91"/>
      <c r="HE793" s="91"/>
      <c r="HF793" s="91"/>
      <c r="HG793" s="91"/>
      <c r="HH793" s="91"/>
      <c r="HI793" s="91"/>
      <c r="HJ793" s="91"/>
      <c r="HK793" s="91"/>
      <c r="HL793" s="91"/>
      <c r="HM793" s="91"/>
      <c r="HN793" s="91"/>
      <c r="HO793" s="91"/>
      <c r="HP793" s="91"/>
      <c r="HQ793" s="91"/>
      <c r="HR793" s="91"/>
      <c r="HS793" s="91"/>
      <c r="HT793" s="91"/>
      <c r="HU793" s="91"/>
      <c r="HV793" s="91"/>
      <c r="HW793" s="91"/>
      <c r="HX793" s="91"/>
      <c r="HY793" s="91"/>
      <c r="HZ793" s="91"/>
      <c r="IA793" s="91"/>
      <c r="IB793" s="91"/>
      <c r="IC793" s="91"/>
      <c r="ID793" s="91"/>
      <c r="IE793" s="91"/>
    </row>
    <row r="794" spans="2:239" ht="15" x14ac:dyDescent="0.2">
      <c r="B794" s="91"/>
      <c r="C794" s="91"/>
      <c r="D794" s="91"/>
      <c r="E794" s="227"/>
      <c r="F794" s="91"/>
      <c r="G794" s="91"/>
      <c r="H794" s="91"/>
      <c r="I794" s="91"/>
      <c r="J794" s="91"/>
      <c r="K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c r="HV794" s="91"/>
      <c r="HW794" s="91"/>
      <c r="HX794" s="91"/>
      <c r="HY794" s="91"/>
      <c r="HZ794" s="91"/>
      <c r="IA794" s="91"/>
      <c r="IB794" s="91"/>
      <c r="IC794" s="91"/>
      <c r="ID794" s="91"/>
      <c r="IE794" s="91"/>
    </row>
    <row r="795" spans="2:239" ht="15" x14ac:dyDescent="0.2">
      <c r="B795" s="91"/>
      <c r="C795" s="91"/>
      <c r="D795" s="91"/>
      <c r="E795" s="227"/>
      <c r="F795" s="91"/>
      <c r="G795" s="91"/>
      <c r="H795" s="91"/>
      <c r="I795" s="91"/>
      <c r="J795" s="91"/>
      <c r="K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c r="GU795" s="91"/>
      <c r="GV795" s="91"/>
      <c r="GW795" s="91"/>
      <c r="GX795" s="91"/>
      <c r="GY795" s="91"/>
      <c r="GZ795" s="91"/>
      <c r="HA795" s="91"/>
      <c r="HB795" s="91"/>
      <c r="HC795" s="91"/>
      <c r="HD795" s="91"/>
      <c r="HE795" s="91"/>
      <c r="HF795" s="91"/>
      <c r="HG795" s="91"/>
      <c r="HH795" s="91"/>
      <c r="HI795" s="91"/>
      <c r="HJ795" s="91"/>
      <c r="HK795" s="91"/>
      <c r="HL795" s="91"/>
      <c r="HM795" s="91"/>
      <c r="HN795" s="91"/>
      <c r="HO795" s="91"/>
      <c r="HP795" s="91"/>
      <c r="HQ795" s="91"/>
      <c r="HR795" s="91"/>
      <c r="HS795" s="91"/>
      <c r="HT795" s="91"/>
      <c r="HU795" s="91"/>
      <c r="HV795" s="91"/>
      <c r="HW795" s="91"/>
      <c r="HX795" s="91"/>
      <c r="HY795" s="91"/>
      <c r="HZ795" s="91"/>
      <c r="IA795" s="91"/>
      <c r="IB795" s="91"/>
      <c r="IC795" s="91"/>
      <c r="ID795" s="91"/>
      <c r="IE795" s="91"/>
    </row>
    <row r="796" spans="2:239" ht="15" x14ac:dyDescent="0.2">
      <c r="B796" s="91"/>
      <c r="C796" s="91"/>
      <c r="D796" s="91"/>
      <c r="E796" s="227"/>
      <c r="F796" s="91"/>
      <c r="G796" s="91"/>
      <c r="H796" s="91"/>
      <c r="I796" s="91"/>
      <c r="J796" s="91"/>
      <c r="K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c r="GU796" s="91"/>
      <c r="GV796" s="91"/>
      <c r="GW796" s="91"/>
      <c r="GX796" s="91"/>
      <c r="GY796" s="91"/>
      <c r="GZ796" s="91"/>
      <c r="HA796" s="91"/>
      <c r="HB796" s="91"/>
      <c r="HC796" s="91"/>
      <c r="HD796" s="91"/>
      <c r="HE796" s="91"/>
      <c r="HF796" s="91"/>
      <c r="HG796" s="91"/>
      <c r="HH796" s="91"/>
      <c r="HI796" s="91"/>
      <c r="HJ796" s="91"/>
      <c r="HK796" s="91"/>
      <c r="HL796" s="91"/>
      <c r="HM796" s="91"/>
      <c r="HN796" s="91"/>
      <c r="HO796" s="91"/>
      <c r="HP796" s="91"/>
      <c r="HQ796" s="91"/>
      <c r="HR796" s="91"/>
      <c r="HS796" s="91"/>
      <c r="HT796" s="91"/>
      <c r="HU796" s="91"/>
      <c r="HV796" s="91"/>
      <c r="HW796" s="91"/>
      <c r="HX796" s="91"/>
      <c r="HY796" s="91"/>
      <c r="HZ796" s="91"/>
      <c r="IA796" s="91"/>
      <c r="IB796" s="91"/>
      <c r="IC796" s="91"/>
      <c r="ID796" s="91"/>
      <c r="IE796" s="91"/>
    </row>
    <row r="797" spans="2:239" ht="15" x14ac:dyDescent="0.2">
      <c r="B797" s="91"/>
      <c r="C797" s="91"/>
      <c r="D797" s="91"/>
      <c r="E797" s="227"/>
      <c r="F797" s="91"/>
      <c r="G797" s="91"/>
      <c r="H797" s="91"/>
      <c r="I797" s="91"/>
      <c r="J797" s="91"/>
      <c r="K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c r="GU797" s="91"/>
      <c r="GV797" s="91"/>
      <c r="GW797" s="91"/>
      <c r="GX797" s="91"/>
      <c r="GY797" s="91"/>
      <c r="GZ797" s="91"/>
      <c r="HA797" s="91"/>
      <c r="HB797" s="91"/>
      <c r="HC797" s="91"/>
      <c r="HD797" s="91"/>
      <c r="HE797" s="91"/>
      <c r="HF797" s="91"/>
      <c r="HG797" s="91"/>
      <c r="HH797" s="91"/>
      <c r="HI797" s="91"/>
      <c r="HJ797" s="91"/>
      <c r="HK797" s="91"/>
      <c r="HL797" s="91"/>
      <c r="HM797" s="91"/>
      <c r="HN797" s="91"/>
      <c r="HO797" s="91"/>
      <c r="HP797" s="91"/>
      <c r="HQ797" s="91"/>
      <c r="HR797" s="91"/>
      <c r="HS797" s="91"/>
      <c r="HT797" s="91"/>
      <c r="HU797" s="91"/>
      <c r="HV797" s="91"/>
      <c r="HW797" s="91"/>
      <c r="HX797" s="91"/>
      <c r="HY797" s="91"/>
      <c r="HZ797" s="91"/>
      <c r="IA797" s="91"/>
      <c r="IB797" s="91"/>
      <c r="IC797" s="91"/>
      <c r="ID797" s="91"/>
      <c r="IE797" s="91"/>
    </row>
    <row r="798" spans="2:239" ht="15" x14ac:dyDescent="0.2">
      <c r="B798" s="91"/>
      <c r="C798" s="91"/>
      <c r="D798" s="91"/>
      <c r="E798" s="227"/>
      <c r="F798" s="91"/>
      <c r="G798" s="91"/>
      <c r="H798" s="91"/>
      <c r="I798" s="91"/>
      <c r="J798" s="91"/>
      <c r="K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c r="HV798" s="91"/>
      <c r="HW798" s="91"/>
      <c r="HX798" s="91"/>
      <c r="HY798" s="91"/>
      <c r="HZ798" s="91"/>
      <c r="IA798" s="91"/>
      <c r="IB798" s="91"/>
      <c r="IC798" s="91"/>
      <c r="ID798" s="91"/>
      <c r="IE798" s="91"/>
    </row>
    <row r="799" spans="2:239" ht="15" x14ac:dyDescent="0.2">
      <c r="B799" s="91"/>
      <c r="C799" s="91"/>
      <c r="D799" s="91"/>
      <c r="E799" s="227"/>
      <c r="F799" s="91"/>
      <c r="G799" s="91"/>
      <c r="H799" s="91"/>
      <c r="I799" s="91"/>
      <c r="J799" s="91"/>
      <c r="K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c r="GU799" s="91"/>
      <c r="GV799" s="91"/>
      <c r="GW799" s="91"/>
      <c r="GX799" s="91"/>
      <c r="GY799" s="91"/>
      <c r="GZ799" s="91"/>
      <c r="HA799" s="91"/>
      <c r="HB799" s="91"/>
      <c r="HC799" s="91"/>
      <c r="HD799" s="91"/>
      <c r="HE799" s="91"/>
      <c r="HF799" s="91"/>
      <c r="HG799" s="91"/>
      <c r="HH799" s="91"/>
      <c r="HI799" s="91"/>
      <c r="HJ799" s="91"/>
      <c r="HK799" s="91"/>
      <c r="HL799" s="91"/>
      <c r="HM799" s="91"/>
      <c r="HN799" s="91"/>
      <c r="HO799" s="91"/>
      <c r="HP799" s="91"/>
      <c r="HQ799" s="91"/>
      <c r="HR799" s="91"/>
      <c r="HS799" s="91"/>
      <c r="HT799" s="91"/>
      <c r="HU799" s="91"/>
      <c r="HV799" s="91"/>
      <c r="HW799" s="91"/>
      <c r="HX799" s="91"/>
      <c r="HY799" s="91"/>
      <c r="HZ799" s="91"/>
      <c r="IA799" s="91"/>
      <c r="IB799" s="91"/>
      <c r="IC799" s="91"/>
      <c r="ID799" s="91"/>
      <c r="IE799" s="91"/>
    </row>
    <row r="800" spans="2:239" ht="15" x14ac:dyDescent="0.2">
      <c r="B800" s="91"/>
      <c r="C800" s="91"/>
      <c r="D800" s="91"/>
      <c r="E800" s="227"/>
      <c r="F800" s="91"/>
      <c r="G800" s="91"/>
      <c r="H800" s="91"/>
      <c r="I800" s="91"/>
      <c r="J800" s="91"/>
      <c r="K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c r="HV800" s="91"/>
      <c r="HW800" s="91"/>
      <c r="HX800" s="91"/>
      <c r="HY800" s="91"/>
      <c r="HZ800" s="91"/>
      <c r="IA800" s="91"/>
      <c r="IB800" s="91"/>
      <c r="IC800" s="91"/>
      <c r="ID800" s="91"/>
      <c r="IE800" s="91"/>
    </row>
    <row r="801" spans="2:239" ht="15" x14ac:dyDescent="0.2">
      <c r="B801" s="91"/>
      <c r="C801" s="91"/>
      <c r="D801" s="91"/>
      <c r="E801" s="227"/>
      <c r="F801" s="91"/>
      <c r="G801" s="91"/>
      <c r="H801" s="91"/>
      <c r="I801" s="91"/>
      <c r="J801" s="91"/>
      <c r="K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c r="HV801" s="91"/>
      <c r="HW801" s="91"/>
      <c r="HX801" s="91"/>
      <c r="HY801" s="91"/>
      <c r="HZ801" s="91"/>
      <c r="IA801" s="91"/>
      <c r="IB801" s="91"/>
      <c r="IC801" s="91"/>
      <c r="ID801" s="91"/>
      <c r="IE801" s="91"/>
    </row>
    <row r="802" spans="2:239" ht="15" x14ac:dyDescent="0.2">
      <c r="B802" s="91"/>
      <c r="C802" s="91"/>
      <c r="D802" s="91"/>
      <c r="E802" s="227"/>
      <c r="F802" s="91"/>
      <c r="G802" s="91"/>
      <c r="H802" s="91"/>
      <c r="I802" s="91"/>
      <c r="J802" s="91"/>
      <c r="K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c r="GU802" s="91"/>
      <c r="GV802" s="91"/>
      <c r="GW802" s="91"/>
      <c r="GX802" s="91"/>
      <c r="GY802" s="91"/>
      <c r="GZ802" s="91"/>
      <c r="HA802" s="91"/>
      <c r="HB802" s="91"/>
      <c r="HC802" s="91"/>
      <c r="HD802" s="91"/>
      <c r="HE802" s="91"/>
      <c r="HF802" s="91"/>
      <c r="HG802" s="91"/>
      <c r="HH802" s="91"/>
      <c r="HI802" s="91"/>
      <c r="HJ802" s="91"/>
      <c r="HK802" s="91"/>
      <c r="HL802" s="91"/>
      <c r="HM802" s="91"/>
      <c r="HN802" s="91"/>
      <c r="HO802" s="91"/>
      <c r="HP802" s="91"/>
      <c r="HQ802" s="91"/>
      <c r="HR802" s="91"/>
      <c r="HS802" s="91"/>
      <c r="HT802" s="91"/>
      <c r="HU802" s="91"/>
      <c r="HV802" s="91"/>
      <c r="HW802" s="91"/>
      <c r="HX802" s="91"/>
      <c r="HY802" s="91"/>
      <c r="HZ802" s="91"/>
      <c r="IA802" s="91"/>
      <c r="IB802" s="91"/>
      <c r="IC802" s="91"/>
      <c r="ID802" s="91"/>
      <c r="IE802" s="91"/>
    </row>
    <row r="803" spans="2:239" ht="15" x14ac:dyDescent="0.2">
      <c r="B803" s="91"/>
      <c r="C803" s="91"/>
      <c r="D803" s="91"/>
      <c r="E803" s="227"/>
      <c r="F803" s="91"/>
      <c r="G803" s="91"/>
      <c r="H803" s="91"/>
      <c r="I803" s="91"/>
      <c r="J803" s="91"/>
      <c r="K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c r="GU803" s="91"/>
      <c r="GV803" s="91"/>
      <c r="GW803" s="91"/>
      <c r="GX803" s="91"/>
      <c r="GY803" s="91"/>
      <c r="GZ803" s="91"/>
      <c r="HA803" s="91"/>
      <c r="HB803" s="91"/>
      <c r="HC803" s="91"/>
      <c r="HD803" s="91"/>
      <c r="HE803" s="91"/>
      <c r="HF803" s="91"/>
      <c r="HG803" s="91"/>
      <c r="HH803" s="91"/>
      <c r="HI803" s="91"/>
      <c r="HJ803" s="91"/>
      <c r="HK803" s="91"/>
      <c r="HL803" s="91"/>
      <c r="HM803" s="91"/>
      <c r="HN803" s="91"/>
      <c r="HO803" s="91"/>
      <c r="HP803" s="91"/>
      <c r="HQ803" s="91"/>
      <c r="HR803" s="91"/>
      <c r="HS803" s="91"/>
      <c r="HT803" s="91"/>
      <c r="HU803" s="91"/>
      <c r="HV803" s="91"/>
      <c r="HW803" s="91"/>
      <c r="HX803" s="91"/>
      <c r="HY803" s="91"/>
      <c r="HZ803" s="91"/>
      <c r="IA803" s="91"/>
      <c r="IB803" s="91"/>
      <c r="IC803" s="91"/>
      <c r="ID803" s="91"/>
      <c r="IE803" s="91"/>
    </row>
    <row r="804" spans="2:239" ht="15" x14ac:dyDescent="0.2">
      <c r="B804" s="91"/>
      <c r="C804" s="91"/>
      <c r="D804" s="91"/>
      <c r="E804" s="227"/>
      <c r="F804" s="91"/>
      <c r="G804" s="91"/>
      <c r="H804" s="91"/>
      <c r="I804" s="91"/>
      <c r="J804" s="91"/>
      <c r="K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c r="GU804" s="91"/>
      <c r="GV804" s="91"/>
      <c r="GW804" s="91"/>
      <c r="GX804" s="91"/>
      <c r="GY804" s="91"/>
      <c r="GZ804" s="91"/>
      <c r="HA804" s="91"/>
      <c r="HB804" s="91"/>
      <c r="HC804" s="91"/>
      <c r="HD804" s="91"/>
      <c r="HE804" s="91"/>
      <c r="HF804" s="91"/>
      <c r="HG804" s="91"/>
      <c r="HH804" s="91"/>
      <c r="HI804" s="91"/>
      <c r="HJ804" s="91"/>
      <c r="HK804" s="91"/>
      <c r="HL804" s="91"/>
      <c r="HM804" s="91"/>
      <c r="HN804" s="91"/>
      <c r="HO804" s="91"/>
      <c r="HP804" s="91"/>
      <c r="HQ804" s="91"/>
      <c r="HR804" s="91"/>
      <c r="HS804" s="91"/>
      <c r="HT804" s="91"/>
      <c r="HU804" s="91"/>
      <c r="HV804" s="91"/>
      <c r="HW804" s="91"/>
      <c r="HX804" s="91"/>
      <c r="HY804" s="91"/>
      <c r="HZ804" s="91"/>
      <c r="IA804" s="91"/>
      <c r="IB804" s="91"/>
      <c r="IC804" s="91"/>
      <c r="ID804" s="91"/>
      <c r="IE804" s="91"/>
    </row>
    <row r="805" spans="2:239" ht="15" x14ac:dyDescent="0.2">
      <c r="B805" s="91"/>
      <c r="C805" s="91"/>
      <c r="D805" s="91"/>
      <c r="E805" s="227"/>
      <c r="F805" s="91"/>
      <c r="G805" s="91"/>
      <c r="H805" s="91"/>
      <c r="I805" s="91"/>
      <c r="J805" s="91"/>
      <c r="K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c r="GU805" s="91"/>
      <c r="GV805" s="91"/>
      <c r="GW805" s="91"/>
      <c r="GX805" s="91"/>
      <c r="GY805" s="91"/>
      <c r="GZ805" s="91"/>
      <c r="HA805" s="91"/>
      <c r="HB805" s="91"/>
      <c r="HC805" s="91"/>
      <c r="HD805" s="91"/>
      <c r="HE805" s="91"/>
      <c r="HF805" s="91"/>
      <c r="HG805" s="91"/>
      <c r="HH805" s="91"/>
      <c r="HI805" s="91"/>
      <c r="HJ805" s="91"/>
      <c r="HK805" s="91"/>
      <c r="HL805" s="91"/>
      <c r="HM805" s="91"/>
      <c r="HN805" s="91"/>
      <c r="HO805" s="91"/>
      <c r="HP805" s="91"/>
      <c r="HQ805" s="91"/>
      <c r="HR805" s="91"/>
      <c r="HS805" s="91"/>
      <c r="HT805" s="91"/>
      <c r="HU805" s="91"/>
      <c r="HV805" s="91"/>
      <c r="HW805" s="91"/>
      <c r="HX805" s="91"/>
      <c r="HY805" s="91"/>
      <c r="HZ805" s="91"/>
      <c r="IA805" s="91"/>
      <c r="IB805" s="91"/>
      <c r="IC805" s="91"/>
      <c r="ID805" s="91"/>
      <c r="IE805" s="91"/>
    </row>
    <row r="806" spans="2:239" ht="15" x14ac:dyDescent="0.2">
      <c r="B806" s="91"/>
      <c r="C806" s="91"/>
      <c r="D806" s="91"/>
      <c r="E806" s="227"/>
      <c r="F806" s="91"/>
      <c r="G806" s="91"/>
      <c r="H806" s="91"/>
      <c r="I806" s="91"/>
      <c r="J806" s="91"/>
      <c r="K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c r="GU806" s="91"/>
      <c r="GV806" s="91"/>
      <c r="GW806" s="91"/>
      <c r="GX806" s="91"/>
      <c r="GY806" s="91"/>
      <c r="GZ806" s="91"/>
      <c r="HA806" s="91"/>
      <c r="HB806" s="91"/>
      <c r="HC806" s="91"/>
      <c r="HD806" s="91"/>
      <c r="HE806" s="91"/>
      <c r="HF806" s="91"/>
      <c r="HG806" s="91"/>
      <c r="HH806" s="91"/>
      <c r="HI806" s="91"/>
      <c r="HJ806" s="91"/>
      <c r="HK806" s="91"/>
      <c r="HL806" s="91"/>
      <c r="HM806" s="91"/>
      <c r="HN806" s="91"/>
      <c r="HO806" s="91"/>
      <c r="HP806" s="91"/>
      <c r="HQ806" s="91"/>
      <c r="HR806" s="91"/>
      <c r="HS806" s="91"/>
      <c r="HT806" s="91"/>
      <c r="HU806" s="91"/>
      <c r="HV806" s="91"/>
      <c r="HW806" s="91"/>
      <c r="HX806" s="91"/>
      <c r="HY806" s="91"/>
      <c r="HZ806" s="91"/>
      <c r="IA806" s="91"/>
      <c r="IB806" s="91"/>
      <c r="IC806" s="91"/>
      <c r="ID806" s="91"/>
      <c r="IE806" s="91"/>
    </row>
    <row r="807" spans="2:239" ht="15" x14ac:dyDescent="0.2">
      <c r="B807" s="91"/>
      <c r="C807" s="91"/>
      <c r="D807" s="91"/>
      <c r="E807" s="227"/>
      <c r="F807" s="91"/>
      <c r="G807" s="91"/>
      <c r="H807" s="91"/>
      <c r="I807" s="91"/>
      <c r="J807" s="91"/>
      <c r="K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c r="HV807" s="91"/>
      <c r="HW807" s="91"/>
      <c r="HX807" s="91"/>
      <c r="HY807" s="91"/>
      <c r="HZ807" s="91"/>
      <c r="IA807" s="91"/>
      <c r="IB807" s="91"/>
      <c r="IC807" s="91"/>
      <c r="ID807" s="91"/>
      <c r="IE807" s="91"/>
    </row>
    <row r="808" spans="2:239" ht="15" x14ac:dyDescent="0.2">
      <c r="B808" s="91"/>
      <c r="C808" s="91"/>
      <c r="D808" s="91"/>
      <c r="E808" s="227"/>
      <c r="F808" s="91"/>
      <c r="G808" s="91"/>
      <c r="H808" s="91"/>
      <c r="I808" s="91"/>
      <c r="J808" s="91"/>
      <c r="K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c r="GU808" s="91"/>
      <c r="GV808" s="91"/>
      <c r="GW808" s="91"/>
      <c r="GX808" s="91"/>
      <c r="GY808" s="91"/>
      <c r="GZ808" s="91"/>
      <c r="HA808" s="91"/>
      <c r="HB808" s="91"/>
      <c r="HC808" s="91"/>
      <c r="HD808" s="91"/>
      <c r="HE808" s="91"/>
      <c r="HF808" s="91"/>
      <c r="HG808" s="91"/>
      <c r="HH808" s="91"/>
      <c r="HI808" s="91"/>
      <c r="HJ808" s="91"/>
      <c r="HK808" s="91"/>
      <c r="HL808" s="91"/>
      <c r="HM808" s="91"/>
      <c r="HN808" s="91"/>
      <c r="HO808" s="91"/>
      <c r="HP808" s="91"/>
      <c r="HQ808" s="91"/>
      <c r="HR808" s="91"/>
      <c r="HS808" s="91"/>
      <c r="HT808" s="91"/>
      <c r="HU808" s="91"/>
      <c r="HV808" s="91"/>
      <c r="HW808" s="91"/>
      <c r="HX808" s="91"/>
      <c r="HY808" s="91"/>
      <c r="HZ808" s="91"/>
      <c r="IA808" s="91"/>
      <c r="IB808" s="91"/>
      <c r="IC808" s="91"/>
      <c r="ID808" s="91"/>
      <c r="IE808" s="91"/>
    </row>
    <row r="809" spans="2:239" ht="15" x14ac:dyDescent="0.2">
      <c r="B809" s="91"/>
      <c r="C809" s="91"/>
      <c r="D809" s="91"/>
      <c r="E809" s="227"/>
      <c r="F809" s="91"/>
      <c r="G809" s="91"/>
      <c r="H809" s="91"/>
      <c r="I809" s="91"/>
      <c r="J809" s="91"/>
      <c r="K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c r="GU809" s="91"/>
      <c r="GV809" s="91"/>
      <c r="GW809" s="91"/>
      <c r="GX809" s="91"/>
      <c r="GY809" s="91"/>
      <c r="GZ809" s="91"/>
      <c r="HA809" s="91"/>
      <c r="HB809" s="91"/>
      <c r="HC809" s="91"/>
      <c r="HD809" s="91"/>
      <c r="HE809" s="91"/>
      <c r="HF809" s="91"/>
      <c r="HG809" s="91"/>
      <c r="HH809" s="91"/>
      <c r="HI809" s="91"/>
      <c r="HJ809" s="91"/>
      <c r="HK809" s="91"/>
      <c r="HL809" s="91"/>
      <c r="HM809" s="91"/>
      <c r="HN809" s="91"/>
      <c r="HO809" s="91"/>
      <c r="HP809" s="91"/>
      <c r="HQ809" s="91"/>
      <c r="HR809" s="91"/>
      <c r="HS809" s="91"/>
      <c r="HT809" s="91"/>
      <c r="HU809" s="91"/>
      <c r="HV809" s="91"/>
      <c r="HW809" s="91"/>
      <c r="HX809" s="91"/>
      <c r="HY809" s="91"/>
      <c r="HZ809" s="91"/>
      <c r="IA809" s="91"/>
      <c r="IB809" s="91"/>
      <c r="IC809" s="91"/>
      <c r="ID809" s="91"/>
      <c r="IE809" s="91"/>
    </row>
    <row r="810" spans="2:239" ht="15" x14ac:dyDescent="0.2">
      <c r="B810" s="91"/>
      <c r="C810" s="91"/>
      <c r="D810" s="91"/>
      <c r="E810" s="227"/>
      <c r="F810" s="91"/>
      <c r="G810" s="91"/>
      <c r="H810" s="91"/>
      <c r="I810" s="91"/>
      <c r="J810" s="91"/>
      <c r="K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c r="GU810" s="91"/>
      <c r="GV810" s="91"/>
      <c r="GW810" s="91"/>
      <c r="GX810" s="91"/>
      <c r="GY810" s="91"/>
      <c r="GZ810" s="91"/>
      <c r="HA810" s="91"/>
      <c r="HB810" s="91"/>
      <c r="HC810" s="91"/>
      <c r="HD810" s="91"/>
      <c r="HE810" s="91"/>
      <c r="HF810" s="91"/>
      <c r="HG810" s="91"/>
      <c r="HH810" s="91"/>
      <c r="HI810" s="91"/>
      <c r="HJ810" s="91"/>
      <c r="HK810" s="91"/>
      <c r="HL810" s="91"/>
      <c r="HM810" s="91"/>
      <c r="HN810" s="91"/>
      <c r="HO810" s="91"/>
      <c r="HP810" s="91"/>
      <c r="HQ810" s="91"/>
      <c r="HR810" s="91"/>
      <c r="HS810" s="91"/>
      <c r="HT810" s="91"/>
      <c r="HU810" s="91"/>
      <c r="HV810" s="91"/>
      <c r="HW810" s="91"/>
      <c r="HX810" s="91"/>
      <c r="HY810" s="91"/>
      <c r="HZ810" s="91"/>
      <c r="IA810" s="91"/>
      <c r="IB810" s="91"/>
      <c r="IC810" s="91"/>
      <c r="ID810" s="91"/>
      <c r="IE810" s="91"/>
    </row>
    <row r="811" spans="2:239" ht="15" x14ac:dyDescent="0.2">
      <c r="B811" s="91"/>
      <c r="C811" s="91"/>
      <c r="D811" s="91"/>
      <c r="E811" s="227"/>
      <c r="F811" s="91"/>
      <c r="G811" s="91"/>
      <c r="H811" s="91"/>
      <c r="I811" s="91"/>
      <c r="J811" s="91"/>
      <c r="K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c r="GU811" s="91"/>
      <c r="GV811" s="91"/>
      <c r="GW811" s="91"/>
      <c r="GX811" s="91"/>
      <c r="GY811" s="91"/>
      <c r="GZ811" s="91"/>
      <c r="HA811" s="91"/>
      <c r="HB811" s="91"/>
      <c r="HC811" s="91"/>
      <c r="HD811" s="91"/>
      <c r="HE811" s="91"/>
      <c r="HF811" s="91"/>
      <c r="HG811" s="91"/>
      <c r="HH811" s="91"/>
      <c r="HI811" s="91"/>
      <c r="HJ811" s="91"/>
      <c r="HK811" s="91"/>
      <c r="HL811" s="91"/>
      <c r="HM811" s="91"/>
      <c r="HN811" s="91"/>
      <c r="HO811" s="91"/>
      <c r="HP811" s="91"/>
      <c r="HQ811" s="91"/>
      <c r="HR811" s="91"/>
      <c r="HS811" s="91"/>
      <c r="HT811" s="91"/>
      <c r="HU811" s="91"/>
      <c r="HV811" s="91"/>
      <c r="HW811" s="91"/>
      <c r="HX811" s="91"/>
      <c r="HY811" s="91"/>
      <c r="HZ811" s="91"/>
      <c r="IA811" s="91"/>
      <c r="IB811" s="91"/>
      <c r="IC811" s="91"/>
      <c r="ID811" s="91"/>
      <c r="IE811" s="91"/>
    </row>
    <row r="812" spans="2:239" ht="15" x14ac:dyDescent="0.2">
      <c r="B812" s="91"/>
      <c r="C812" s="91"/>
      <c r="D812" s="91"/>
      <c r="E812" s="227"/>
      <c r="F812" s="91"/>
      <c r="G812" s="91"/>
      <c r="H812" s="91"/>
      <c r="I812" s="91"/>
      <c r="J812" s="91"/>
      <c r="K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c r="GU812" s="91"/>
      <c r="GV812" s="91"/>
      <c r="GW812" s="91"/>
      <c r="GX812" s="91"/>
      <c r="GY812" s="91"/>
      <c r="GZ812" s="91"/>
      <c r="HA812" s="91"/>
      <c r="HB812" s="91"/>
      <c r="HC812" s="91"/>
      <c r="HD812" s="91"/>
      <c r="HE812" s="91"/>
      <c r="HF812" s="91"/>
      <c r="HG812" s="91"/>
      <c r="HH812" s="91"/>
      <c r="HI812" s="91"/>
      <c r="HJ812" s="91"/>
      <c r="HK812" s="91"/>
      <c r="HL812" s="91"/>
      <c r="HM812" s="91"/>
      <c r="HN812" s="91"/>
      <c r="HO812" s="91"/>
      <c r="HP812" s="91"/>
      <c r="HQ812" s="91"/>
      <c r="HR812" s="91"/>
      <c r="HS812" s="91"/>
      <c r="HT812" s="91"/>
      <c r="HU812" s="91"/>
      <c r="HV812" s="91"/>
      <c r="HW812" s="91"/>
      <c r="HX812" s="91"/>
      <c r="HY812" s="91"/>
      <c r="HZ812" s="91"/>
      <c r="IA812" s="91"/>
      <c r="IB812" s="91"/>
      <c r="IC812" s="91"/>
      <c r="ID812" s="91"/>
      <c r="IE812" s="91"/>
    </row>
    <row r="813" spans="2:239" ht="15" x14ac:dyDescent="0.2">
      <c r="B813" s="91"/>
      <c r="C813" s="91"/>
      <c r="D813" s="91"/>
      <c r="E813" s="227"/>
      <c r="F813" s="91"/>
      <c r="G813" s="91"/>
      <c r="H813" s="91"/>
      <c r="I813" s="91"/>
      <c r="J813" s="91"/>
      <c r="K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c r="GU813" s="91"/>
      <c r="GV813" s="91"/>
      <c r="GW813" s="91"/>
      <c r="GX813" s="91"/>
      <c r="GY813" s="91"/>
      <c r="GZ813" s="91"/>
      <c r="HA813" s="91"/>
      <c r="HB813" s="91"/>
      <c r="HC813" s="91"/>
      <c r="HD813" s="91"/>
      <c r="HE813" s="91"/>
      <c r="HF813" s="91"/>
      <c r="HG813" s="91"/>
      <c r="HH813" s="91"/>
      <c r="HI813" s="91"/>
      <c r="HJ813" s="91"/>
      <c r="HK813" s="91"/>
      <c r="HL813" s="91"/>
      <c r="HM813" s="91"/>
      <c r="HN813" s="91"/>
      <c r="HO813" s="91"/>
      <c r="HP813" s="91"/>
      <c r="HQ813" s="91"/>
      <c r="HR813" s="91"/>
      <c r="HS813" s="91"/>
      <c r="HT813" s="91"/>
      <c r="HU813" s="91"/>
      <c r="HV813" s="91"/>
      <c r="HW813" s="91"/>
      <c r="HX813" s="91"/>
      <c r="HY813" s="91"/>
      <c r="HZ813" s="91"/>
      <c r="IA813" s="91"/>
      <c r="IB813" s="91"/>
      <c r="IC813" s="91"/>
      <c r="ID813" s="91"/>
      <c r="IE813" s="91"/>
    </row>
    <row r="814" spans="2:239" ht="15" x14ac:dyDescent="0.2">
      <c r="B814" s="91"/>
      <c r="C814" s="91"/>
      <c r="D814" s="91"/>
      <c r="E814" s="227"/>
      <c r="F814" s="91"/>
      <c r="G814" s="91"/>
      <c r="H814" s="91"/>
      <c r="I814" s="91"/>
      <c r="J814" s="91"/>
      <c r="K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c r="GU814" s="91"/>
      <c r="GV814" s="91"/>
      <c r="GW814" s="91"/>
      <c r="GX814" s="91"/>
      <c r="GY814" s="91"/>
      <c r="GZ814" s="91"/>
      <c r="HA814" s="91"/>
      <c r="HB814" s="91"/>
      <c r="HC814" s="91"/>
      <c r="HD814" s="91"/>
      <c r="HE814" s="91"/>
      <c r="HF814" s="91"/>
      <c r="HG814" s="91"/>
      <c r="HH814" s="91"/>
      <c r="HI814" s="91"/>
      <c r="HJ814" s="91"/>
      <c r="HK814" s="91"/>
      <c r="HL814" s="91"/>
      <c r="HM814" s="91"/>
      <c r="HN814" s="91"/>
      <c r="HO814" s="91"/>
      <c r="HP814" s="91"/>
      <c r="HQ814" s="91"/>
      <c r="HR814" s="91"/>
      <c r="HS814" s="91"/>
      <c r="HT814" s="91"/>
      <c r="HU814" s="91"/>
      <c r="HV814" s="91"/>
      <c r="HW814" s="91"/>
      <c r="HX814" s="91"/>
      <c r="HY814" s="91"/>
      <c r="HZ814" s="91"/>
      <c r="IA814" s="91"/>
      <c r="IB814" s="91"/>
      <c r="IC814" s="91"/>
      <c r="ID814" s="91"/>
      <c r="IE814" s="91"/>
    </row>
    <row r="815" spans="2:239" ht="15" x14ac:dyDescent="0.2">
      <c r="B815" s="91"/>
      <c r="C815" s="91"/>
      <c r="D815" s="91"/>
      <c r="E815" s="227"/>
      <c r="F815" s="91"/>
      <c r="G815" s="91"/>
      <c r="H815" s="91"/>
      <c r="I815" s="91"/>
      <c r="J815" s="91"/>
      <c r="K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c r="GU815" s="91"/>
      <c r="GV815" s="91"/>
      <c r="GW815" s="91"/>
      <c r="GX815" s="91"/>
      <c r="GY815" s="91"/>
      <c r="GZ815" s="91"/>
      <c r="HA815" s="91"/>
      <c r="HB815" s="91"/>
      <c r="HC815" s="91"/>
      <c r="HD815" s="91"/>
      <c r="HE815" s="91"/>
      <c r="HF815" s="91"/>
      <c r="HG815" s="91"/>
      <c r="HH815" s="91"/>
      <c r="HI815" s="91"/>
      <c r="HJ815" s="91"/>
      <c r="HK815" s="91"/>
      <c r="HL815" s="91"/>
      <c r="HM815" s="91"/>
      <c r="HN815" s="91"/>
      <c r="HO815" s="91"/>
      <c r="HP815" s="91"/>
      <c r="HQ815" s="91"/>
      <c r="HR815" s="91"/>
      <c r="HS815" s="91"/>
      <c r="HT815" s="91"/>
      <c r="HU815" s="91"/>
      <c r="HV815" s="91"/>
      <c r="HW815" s="91"/>
      <c r="HX815" s="91"/>
      <c r="HY815" s="91"/>
      <c r="HZ815" s="91"/>
      <c r="IA815" s="91"/>
      <c r="IB815" s="91"/>
      <c r="IC815" s="91"/>
      <c r="ID815" s="91"/>
      <c r="IE815" s="91"/>
    </row>
    <row r="816" spans="2:239" ht="15" x14ac:dyDescent="0.2">
      <c r="B816" s="91"/>
      <c r="C816" s="91"/>
      <c r="D816" s="91"/>
      <c r="E816" s="227"/>
      <c r="F816" s="91"/>
      <c r="G816" s="91"/>
      <c r="H816" s="91"/>
      <c r="I816" s="91"/>
      <c r="J816" s="91"/>
      <c r="K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c r="GU816" s="91"/>
      <c r="GV816" s="91"/>
      <c r="GW816" s="91"/>
      <c r="GX816" s="91"/>
      <c r="GY816" s="91"/>
      <c r="GZ816" s="91"/>
      <c r="HA816" s="91"/>
      <c r="HB816" s="91"/>
      <c r="HC816" s="91"/>
      <c r="HD816" s="91"/>
      <c r="HE816" s="91"/>
      <c r="HF816" s="91"/>
      <c r="HG816" s="91"/>
      <c r="HH816" s="91"/>
      <c r="HI816" s="91"/>
      <c r="HJ816" s="91"/>
      <c r="HK816" s="91"/>
      <c r="HL816" s="91"/>
      <c r="HM816" s="91"/>
      <c r="HN816" s="91"/>
      <c r="HO816" s="91"/>
      <c r="HP816" s="91"/>
      <c r="HQ816" s="91"/>
      <c r="HR816" s="91"/>
      <c r="HS816" s="91"/>
      <c r="HT816" s="91"/>
      <c r="HU816" s="91"/>
      <c r="HV816" s="91"/>
      <c r="HW816" s="91"/>
      <c r="HX816" s="91"/>
      <c r="HY816" s="91"/>
      <c r="HZ816" s="91"/>
      <c r="IA816" s="91"/>
      <c r="IB816" s="91"/>
      <c r="IC816" s="91"/>
      <c r="ID816" s="91"/>
      <c r="IE816" s="91"/>
    </row>
    <row r="817" spans="2:239" ht="15" x14ac:dyDescent="0.2">
      <c r="B817" s="91"/>
      <c r="C817" s="91"/>
      <c r="D817" s="91"/>
      <c r="E817" s="227"/>
      <c r="F817" s="91"/>
      <c r="G817" s="91"/>
      <c r="H817" s="91"/>
      <c r="I817" s="91"/>
      <c r="J817" s="91"/>
      <c r="K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c r="GU817" s="91"/>
      <c r="GV817" s="91"/>
      <c r="GW817" s="91"/>
      <c r="GX817" s="91"/>
      <c r="GY817" s="91"/>
      <c r="GZ817" s="91"/>
      <c r="HA817" s="91"/>
      <c r="HB817" s="91"/>
      <c r="HC817" s="91"/>
      <c r="HD817" s="91"/>
      <c r="HE817" s="91"/>
      <c r="HF817" s="91"/>
      <c r="HG817" s="91"/>
      <c r="HH817" s="91"/>
      <c r="HI817" s="91"/>
      <c r="HJ817" s="91"/>
      <c r="HK817" s="91"/>
      <c r="HL817" s="91"/>
      <c r="HM817" s="91"/>
      <c r="HN817" s="91"/>
      <c r="HO817" s="91"/>
      <c r="HP817" s="91"/>
      <c r="HQ817" s="91"/>
      <c r="HR817" s="91"/>
      <c r="HS817" s="91"/>
      <c r="HT817" s="91"/>
      <c r="HU817" s="91"/>
      <c r="HV817" s="91"/>
      <c r="HW817" s="91"/>
      <c r="HX817" s="91"/>
      <c r="HY817" s="91"/>
      <c r="HZ817" s="91"/>
      <c r="IA817" s="91"/>
      <c r="IB817" s="91"/>
      <c r="IC817" s="91"/>
      <c r="ID817" s="91"/>
      <c r="IE817" s="91"/>
    </row>
    <row r="818" spans="2:239" ht="15" x14ac:dyDescent="0.2">
      <c r="B818" s="91"/>
      <c r="C818" s="91"/>
      <c r="D818" s="91"/>
      <c r="E818" s="227"/>
      <c r="F818" s="91"/>
      <c r="G818" s="91"/>
      <c r="H818" s="91"/>
      <c r="I818" s="91"/>
      <c r="J818" s="91"/>
      <c r="K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c r="GU818" s="91"/>
      <c r="GV818" s="91"/>
      <c r="GW818" s="91"/>
      <c r="GX818" s="91"/>
      <c r="GY818" s="91"/>
      <c r="GZ818" s="91"/>
      <c r="HA818" s="91"/>
      <c r="HB818" s="91"/>
      <c r="HC818" s="91"/>
      <c r="HD818" s="91"/>
      <c r="HE818" s="91"/>
      <c r="HF818" s="91"/>
      <c r="HG818" s="91"/>
      <c r="HH818" s="91"/>
      <c r="HI818" s="91"/>
      <c r="HJ818" s="91"/>
      <c r="HK818" s="91"/>
      <c r="HL818" s="91"/>
      <c r="HM818" s="91"/>
      <c r="HN818" s="91"/>
      <c r="HO818" s="91"/>
      <c r="HP818" s="91"/>
      <c r="HQ818" s="91"/>
      <c r="HR818" s="91"/>
      <c r="HS818" s="91"/>
      <c r="HT818" s="91"/>
      <c r="HU818" s="91"/>
      <c r="HV818" s="91"/>
      <c r="HW818" s="91"/>
      <c r="HX818" s="91"/>
      <c r="HY818" s="91"/>
      <c r="HZ818" s="91"/>
      <c r="IA818" s="91"/>
      <c r="IB818" s="91"/>
      <c r="IC818" s="91"/>
      <c r="ID818" s="91"/>
      <c r="IE818" s="91"/>
    </row>
    <row r="819" spans="2:239" ht="15" x14ac:dyDescent="0.2">
      <c r="B819" s="91"/>
      <c r="C819" s="91"/>
      <c r="D819" s="91"/>
      <c r="E819" s="227"/>
      <c r="F819" s="91"/>
      <c r="G819" s="91"/>
      <c r="H819" s="91"/>
      <c r="I819" s="91"/>
      <c r="J819" s="91"/>
      <c r="K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c r="GU819" s="91"/>
      <c r="GV819" s="91"/>
      <c r="GW819" s="91"/>
      <c r="GX819" s="91"/>
      <c r="GY819" s="91"/>
      <c r="GZ819" s="91"/>
      <c r="HA819" s="91"/>
      <c r="HB819" s="91"/>
      <c r="HC819" s="91"/>
      <c r="HD819" s="91"/>
      <c r="HE819" s="91"/>
      <c r="HF819" s="91"/>
      <c r="HG819" s="91"/>
      <c r="HH819" s="91"/>
      <c r="HI819" s="91"/>
      <c r="HJ819" s="91"/>
      <c r="HK819" s="91"/>
      <c r="HL819" s="91"/>
      <c r="HM819" s="91"/>
      <c r="HN819" s="91"/>
      <c r="HO819" s="91"/>
      <c r="HP819" s="91"/>
      <c r="HQ819" s="91"/>
      <c r="HR819" s="91"/>
      <c r="HS819" s="91"/>
      <c r="HT819" s="91"/>
      <c r="HU819" s="91"/>
      <c r="HV819" s="91"/>
      <c r="HW819" s="91"/>
      <c r="HX819" s="91"/>
      <c r="HY819" s="91"/>
      <c r="HZ819" s="91"/>
      <c r="IA819" s="91"/>
      <c r="IB819" s="91"/>
      <c r="IC819" s="91"/>
      <c r="ID819" s="91"/>
      <c r="IE819" s="91"/>
    </row>
    <row r="820" spans="2:239" ht="15" x14ac:dyDescent="0.2">
      <c r="B820" s="91"/>
      <c r="C820" s="91"/>
      <c r="D820" s="91"/>
      <c r="E820" s="227"/>
      <c r="F820" s="91"/>
      <c r="G820" s="91"/>
      <c r="H820" s="91"/>
      <c r="I820" s="91"/>
      <c r="J820" s="91"/>
      <c r="K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c r="GU820" s="91"/>
      <c r="GV820" s="91"/>
      <c r="GW820" s="91"/>
      <c r="GX820" s="91"/>
      <c r="GY820" s="91"/>
      <c r="GZ820" s="91"/>
      <c r="HA820" s="91"/>
      <c r="HB820" s="91"/>
      <c r="HC820" s="91"/>
      <c r="HD820" s="91"/>
      <c r="HE820" s="91"/>
      <c r="HF820" s="91"/>
      <c r="HG820" s="91"/>
      <c r="HH820" s="91"/>
      <c r="HI820" s="91"/>
      <c r="HJ820" s="91"/>
      <c r="HK820" s="91"/>
      <c r="HL820" s="91"/>
      <c r="HM820" s="91"/>
      <c r="HN820" s="91"/>
      <c r="HO820" s="91"/>
      <c r="HP820" s="91"/>
      <c r="HQ820" s="91"/>
      <c r="HR820" s="91"/>
      <c r="HS820" s="91"/>
      <c r="HT820" s="91"/>
      <c r="HU820" s="91"/>
      <c r="HV820" s="91"/>
      <c r="HW820" s="91"/>
      <c r="HX820" s="91"/>
      <c r="HY820" s="91"/>
      <c r="HZ820" s="91"/>
      <c r="IA820" s="91"/>
      <c r="IB820" s="91"/>
      <c r="IC820" s="91"/>
      <c r="ID820" s="91"/>
      <c r="IE820" s="91"/>
    </row>
    <row r="821" spans="2:239" ht="15" x14ac:dyDescent="0.2">
      <c r="B821" s="91"/>
      <c r="C821" s="91"/>
      <c r="D821" s="91"/>
      <c r="E821" s="227"/>
      <c r="F821" s="91"/>
      <c r="G821" s="91"/>
      <c r="H821" s="91"/>
      <c r="I821" s="91"/>
      <c r="J821" s="91"/>
      <c r="K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c r="GU821" s="91"/>
      <c r="GV821" s="91"/>
      <c r="GW821" s="91"/>
      <c r="GX821" s="91"/>
      <c r="GY821" s="91"/>
      <c r="GZ821" s="91"/>
      <c r="HA821" s="91"/>
      <c r="HB821" s="91"/>
      <c r="HC821" s="91"/>
      <c r="HD821" s="91"/>
      <c r="HE821" s="91"/>
      <c r="HF821" s="91"/>
      <c r="HG821" s="91"/>
      <c r="HH821" s="91"/>
      <c r="HI821" s="91"/>
      <c r="HJ821" s="91"/>
      <c r="HK821" s="91"/>
      <c r="HL821" s="91"/>
      <c r="HM821" s="91"/>
      <c r="HN821" s="91"/>
      <c r="HO821" s="91"/>
      <c r="HP821" s="91"/>
      <c r="HQ821" s="91"/>
      <c r="HR821" s="91"/>
      <c r="HS821" s="91"/>
      <c r="HT821" s="91"/>
      <c r="HU821" s="91"/>
      <c r="HV821" s="91"/>
      <c r="HW821" s="91"/>
      <c r="HX821" s="91"/>
      <c r="HY821" s="91"/>
      <c r="HZ821" s="91"/>
      <c r="IA821" s="91"/>
      <c r="IB821" s="91"/>
      <c r="IC821" s="91"/>
      <c r="ID821" s="91"/>
      <c r="IE821" s="91"/>
    </row>
    <row r="822" spans="2:239" ht="15" x14ac:dyDescent="0.2">
      <c r="B822" s="91"/>
      <c r="C822" s="91"/>
      <c r="D822" s="91"/>
      <c r="E822" s="227"/>
      <c r="F822" s="91"/>
      <c r="G822" s="91"/>
      <c r="H822" s="91"/>
      <c r="I822" s="91"/>
      <c r="J822" s="91"/>
      <c r="K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c r="GU822" s="91"/>
      <c r="GV822" s="91"/>
      <c r="GW822" s="91"/>
      <c r="GX822" s="91"/>
      <c r="GY822" s="91"/>
      <c r="GZ822" s="91"/>
      <c r="HA822" s="91"/>
      <c r="HB822" s="91"/>
      <c r="HC822" s="91"/>
      <c r="HD822" s="91"/>
      <c r="HE822" s="91"/>
      <c r="HF822" s="91"/>
      <c r="HG822" s="91"/>
      <c r="HH822" s="91"/>
      <c r="HI822" s="91"/>
      <c r="HJ822" s="91"/>
      <c r="HK822" s="91"/>
      <c r="HL822" s="91"/>
      <c r="HM822" s="91"/>
      <c r="HN822" s="91"/>
      <c r="HO822" s="91"/>
      <c r="HP822" s="91"/>
      <c r="HQ822" s="91"/>
      <c r="HR822" s="91"/>
      <c r="HS822" s="91"/>
      <c r="HT822" s="91"/>
      <c r="HU822" s="91"/>
      <c r="HV822" s="91"/>
      <c r="HW822" s="91"/>
      <c r="HX822" s="91"/>
      <c r="HY822" s="91"/>
      <c r="HZ822" s="91"/>
      <c r="IA822" s="91"/>
      <c r="IB822" s="91"/>
      <c r="IC822" s="91"/>
      <c r="ID822" s="91"/>
      <c r="IE822" s="91"/>
    </row>
    <row r="823" spans="2:239" ht="15" x14ac:dyDescent="0.2">
      <c r="B823" s="91"/>
      <c r="C823" s="91"/>
      <c r="D823" s="91"/>
      <c r="E823" s="227"/>
      <c r="F823" s="91"/>
      <c r="G823" s="91"/>
      <c r="H823" s="91"/>
      <c r="I823" s="91"/>
      <c r="J823" s="91"/>
      <c r="K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c r="GU823" s="91"/>
      <c r="GV823" s="91"/>
      <c r="GW823" s="91"/>
      <c r="GX823" s="91"/>
      <c r="GY823" s="91"/>
      <c r="GZ823" s="91"/>
      <c r="HA823" s="91"/>
      <c r="HB823" s="91"/>
      <c r="HC823" s="91"/>
      <c r="HD823" s="91"/>
      <c r="HE823" s="91"/>
      <c r="HF823" s="91"/>
      <c r="HG823" s="91"/>
      <c r="HH823" s="91"/>
      <c r="HI823" s="91"/>
      <c r="HJ823" s="91"/>
      <c r="HK823" s="91"/>
      <c r="HL823" s="91"/>
      <c r="HM823" s="91"/>
      <c r="HN823" s="91"/>
      <c r="HO823" s="91"/>
      <c r="HP823" s="91"/>
      <c r="HQ823" s="91"/>
      <c r="HR823" s="91"/>
      <c r="HS823" s="91"/>
      <c r="HT823" s="91"/>
      <c r="HU823" s="91"/>
      <c r="HV823" s="91"/>
      <c r="HW823" s="91"/>
      <c r="HX823" s="91"/>
      <c r="HY823" s="91"/>
      <c r="HZ823" s="91"/>
      <c r="IA823" s="91"/>
      <c r="IB823" s="91"/>
      <c r="IC823" s="91"/>
      <c r="ID823" s="91"/>
      <c r="IE823" s="91"/>
    </row>
    <row r="824" spans="2:239" ht="15" x14ac:dyDescent="0.2">
      <c r="B824" s="91"/>
      <c r="C824" s="91"/>
      <c r="D824" s="91"/>
      <c r="E824" s="227"/>
      <c r="F824" s="91"/>
      <c r="G824" s="91"/>
      <c r="H824" s="91"/>
      <c r="I824" s="91"/>
      <c r="J824" s="91"/>
      <c r="K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c r="GU824" s="91"/>
      <c r="GV824" s="91"/>
      <c r="GW824" s="91"/>
      <c r="GX824" s="91"/>
      <c r="GY824" s="91"/>
      <c r="GZ824" s="91"/>
      <c r="HA824" s="91"/>
      <c r="HB824" s="91"/>
      <c r="HC824" s="91"/>
      <c r="HD824" s="91"/>
      <c r="HE824" s="91"/>
      <c r="HF824" s="91"/>
      <c r="HG824" s="91"/>
      <c r="HH824" s="91"/>
      <c r="HI824" s="91"/>
      <c r="HJ824" s="91"/>
      <c r="HK824" s="91"/>
      <c r="HL824" s="91"/>
      <c r="HM824" s="91"/>
      <c r="HN824" s="91"/>
      <c r="HO824" s="91"/>
      <c r="HP824" s="91"/>
      <c r="HQ824" s="91"/>
      <c r="HR824" s="91"/>
      <c r="HS824" s="91"/>
      <c r="HT824" s="91"/>
      <c r="HU824" s="91"/>
      <c r="HV824" s="91"/>
      <c r="HW824" s="91"/>
      <c r="HX824" s="91"/>
      <c r="HY824" s="91"/>
      <c r="HZ824" s="91"/>
      <c r="IA824" s="91"/>
      <c r="IB824" s="91"/>
      <c r="IC824" s="91"/>
      <c r="ID824" s="91"/>
      <c r="IE824" s="91"/>
    </row>
    <row r="825" spans="2:239" ht="15" x14ac:dyDescent="0.2">
      <c r="B825" s="91"/>
      <c r="C825" s="91"/>
      <c r="D825" s="91"/>
      <c r="E825" s="227"/>
      <c r="F825" s="91"/>
      <c r="G825" s="91"/>
      <c r="H825" s="91"/>
      <c r="I825" s="91"/>
      <c r="J825" s="91"/>
      <c r="K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c r="GU825" s="91"/>
      <c r="GV825" s="91"/>
      <c r="GW825" s="91"/>
      <c r="GX825" s="91"/>
      <c r="GY825" s="91"/>
      <c r="GZ825" s="91"/>
      <c r="HA825" s="91"/>
      <c r="HB825" s="91"/>
      <c r="HC825" s="91"/>
      <c r="HD825" s="91"/>
      <c r="HE825" s="91"/>
      <c r="HF825" s="91"/>
      <c r="HG825" s="91"/>
      <c r="HH825" s="91"/>
      <c r="HI825" s="91"/>
      <c r="HJ825" s="91"/>
      <c r="HK825" s="91"/>
      <c r="HL825" s="91"/>
      <c r="HM825" s="91"/>
      <c r="HN825" s="91"/>
      <c r="HO825" s="91"/>
      <c r="HP825" s="91"/>
      <c r="HQ825" s="91"/>
      <c r="HR825" s="91"/>
      <c r="HS825" s="91"/>
      <c r="HT825" s="91"/>
      <c r="HU825" s="91"/>
      <c r="HV825" s="91"/>
      <c r="HW825" s="91"/>
      <c r="HX825" s="91"/>
      <c r="HY825" s="91"/>
      <c r="HZ825" s="91"/>
      <c r="IA825" s="91"/>
      <c r="IB825" s="91"/>
      <c r="IC825" s="91"/>
      <c r="ID825" s="91"/>
      <c r="IE825" s="91"/>
    </row>
    <row r="826" spans="2:239" ht="15" x14ac:dyDescent="0.2">
      <c r="B826" s="91"/>
      <c r="C826" s="91"/>
      <c r="D826" s="91"/>
      <c r="E826" s="227"/>
      <c r="F826" s="91"/>
      <c r="G826" s="91"/>
      <c r="H826" s="91"/>
      <c r="I826" s="91"/>
      <c r="J826" s="91"/>
      <c r="K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c r="GU826" s="91"/>
      <c r="GV826" s="91"/>
      <c r="GW826" s="91"/>
      <c r="GX826" s="91"/>
      <c r="GY826" s="91"/>
      <c r="GZ826" s="91"/>
      <c r="HA826" s="91"/>
      <c r="HB826" s="91"/>
      <c r="HC826" s="91"/>
      <c r="HD826" s="91"/>
      <c r="HE826" s="91"/>
      <c r="HF826" s="91"/>
      <c r="HG826" s="91"/>
      <c r="HH826" s="91"/>
      <c r="HI826" s="91"/>
      <c r="HJ826" s="91"/>
      <c r="HK826" s="91"/>
      <c r="HL826" s="91"/>
      <c r="HM826" s="91"/>
      <c r="HN826" s="91"/>
      <c r="HO826" s="91"/>
      <c r="HP826" s="91"/>
      <c r="HQ826" s="91"/>
      <c r="HR826" s="91"/>
      <c r="HS826" s="91"/>
      <c r="HT826" s="91"/>
      <c r="HU826" s="91"/>
      <c r="HV826" s="91"/>
      <c r="HW826" s="91"/>
      <c r="HX826" s="91"/>
      <c r="HY826" s="91"/>
      <c r="HZ826" s="91"/>
      <c r="IA826" s="91"/>
      <c r="IB826" s="91"/>
      <c r="IC826" s="91"/>
      <c r="ID826" s="91"/>
      <c r="IE826" s="91"/>
    </row>
    <row r="827" spans="2:239" ht="15" x14ac:dyDescent="0.2">
      <c r="B827" s="91"/>
      <c r="C827" s="91"/>
      <c r="D827" s="91"/>
      <c r="E827" s="227"/>
      <c r="F827" s="91"/>
      <c r="G827" s="91"/>
      <c r="H827" s="91"/>
      <c r="I827" s="91"/>
      <c r="J827" s="91"/>
      <c r="K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c r="GU827" s="91"/>
      <c r="GV827" s="91"/>
      <c r="GW827" s="91"/>
      <c r="GX827" s="91"/>
      <c r="GY827" s="91"/>
      <c r="GZ827" s="91"/>
      <c r="HA827" s="91"/>
      <c r="HB827" s="91"/>
      <c r="HC827" s="91"/>
      <c r="HD827" s="91"/>
      <c r="HE827" s="91"/>
      <c r="HF827" s="91"/>
      <c r="HG827" s="91"/>
      <c r="HH827" s="91"/>
      <c r="HI827" s="91"/>
      <c r="HJ827" s="91"/>
      <c r="HK827" s="91"/>
      <c r="HL827" s="91"/>
      <c r="HM827" s="91"/>
      <c r="HN827" s="91"/>
      <c r="HO827" s="91"/>
      <c r="HP827" s="91"/>
      <c r="HQ827" s="91"/>
      <c r="HR827" s="91"/>
      <c r="HS827" s="91"/>
      <c r="HT827" s="91"/>
      <c r="HU827" s="91"/>
      <c r="HV827" s="91"/>
      <c r="HW827" s="91"/>
      <c r="HX827" s="91"/>
      <c r="HY827" s="91"/>
      <c r="HZ827" s="91"/>
      <c r="IA827" s="91"/>
      <c r="IB827" s="91"/>
      <c r="IC827" s="91"/>
      <c r="ID827" s="91"/>
      <c r="IE827" s="91"/>
    </row>
    <row r="828" spans="2:239" ht="15" x14ac:dyDescent="0.2">
      <c r="B828" s="91"/>
      <c r="C828" s="91"/>
      <c r="D828" s="91"/>
      <c r="E828" s="227"/>
      <c r="F828" s="91"/>
      <c r="G828" s="91"/>
      <c r="H828" s="91"/>
      <c r="I828" s="91"/>
      <c r="J828" s="91"/>
      <c r="K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c r="HV828" s="91"/>
      <c r="HW828" s="91"/>
      <c r="HX828" s="91"/>
      <c r="HY828" s="91"/>
      <c r="HZ828" s="91"/>
      <c r="IA828" s="91"/>
      <c r="IB828" s="91"/>
      <c r="IC828" s="91"/>
      <c r="ID828" s="91"/>
      <c r="IE828" s="91"/>
    </row>
    <row r="829" spans="2:239" ht="15" x14ac:dyDescent="0.2">
      <c r="B829" s="91"/>
      <c r="C829" s="91"/>
      <c r="D829" s="91"/>
      <c r="E829" s="227"/>
      <c r="F829" s="91"/>
      <c r="G829" s="91"/>
      <c r="H829" s="91"/>
      <c r="I829" s="91"/>
      <c r="J829" s="91"/>
      <c r="K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c r="GU829" s="91"/>
      <c r="GV829" s="91"/>
      <c r="GW829" s="91"/>
      <c r="GX829" s="91"/>
      <c r="GY829" s="91"/>
      <c r="GZ829" s="91"/>
      <c r="HA829" s="91"/>
      <c r="HB829" s="91"/>
      <c r="HC829" s="91"/>
      <c r="HD829" s="91"/>
      <c r="HE829" s="91"/>
      <c r="HF829" s="91"/>
      <c r="HG829" s="91"/>
      <c r="HH829" s="91"/>
      <c r="HI829" s="91"/>
      <c r="HJ829" s="91"/>
      <c r="HK829" s="91"/>
      <c r="HL829" s="91"/>
      <c r="HM829" s="91"/>
      <c r="HN829" s="91"/>
      <c r="HO829" s="91"/>
      <c r="HP829" s="91"/>
      <c r="HQ829" s="91"/>
      <c r="HR829" s="91"/>
      <c r="HS829" s="91"/>
      <c r="HT829" s="91"/>
      <c r="HU829" s="91"/>
      <c r="HV829" s="91"/>
      <c r="HW829" s="91"/>
      <c r="HX829" s="91"/>
      <c r="HY829" s="91"/>
      <c r="HZ829" s="91"/>
      <c r="IA829" s="91"/>
      <c r="IB829" s="91"/>
      <c r="IC829" s="91"/>
      <c r="ID829" s="91"/>
      <c r="IE829" s="91"/>
    </row>
    <row r="830" spans="2:239" ht="15" x14ac:dyDescent="0.2">
      <c r="B830" s="91"/>
      <c r="C830" s="91"/>
      <c r="D830" s="91"/>
      <c r="E830" s="227"/>
      <c r="F830" s="91"/>
      <c r="G830" s="91"/>
      <c r="H830" s="91"/>
      <c r="I830" s="91"/>
      <c r="J830" s="91"/>
      <c r="K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c r="GU830" s="91"/>
      <c r="GV830" s="91"/>
      <c r="GW830" s="91"/>
      <c r="GX830" s="91"/>
      <c r="GY830" s="91"/>
      <c r="GZ830" s="91"/>
      <c r="HA830" s="91"/>
      <c r="HB830" s="91"/>
      <c r="HC830" s="91"/>
      <c r="HD830" s="91"/>
      <c r="HE830" s="91"/>
      <c r="HF830" s="91"/>
      <c r="HG830" s="91"/>
      <c r="HH830" s="91"/>
      <c r="HI830" s="91"/>
      <c r="HJ830" s="91"/>
      <c r="HK830" s="91"/>
      <c r="HL830" s="91"/>
      <c r="HM830" s="91"/>
      <c r="HN830" s="91"/>
      <c r="HO830" s="91"/>
      <c r="HP830" s="91"/>
      <c r="HQ830" s="91"/>
      <c r="HR830" s="91"/>
      <c r="HS830" s="91"/>
      <c r="HT830" s="91"/>
      <c r="HU830" s="91"/>
      <c r="HV830" s="91"/>
      <c r="HW830" s="91"/>
      <c r="HX830" s="91"/>
      <c r="HY830" s="91"/>
      <c r="HZ830" s="91"/>
      <c r="IA830" s="91"/>
      <c r="IB830" s="91"/>
      <c r="IC830" s="91"/>
      <c r="ID830" s="91"/>
      <c r="IE830" s="91"/>
    </row>
    <row r="831" spans="2:239" ht="15" x14ac:dyDescent="0.2">
      <c r="B831" s="91"/>
      <c r="C831" s="91"/>
      <c r="D831" s="91"/>
      <c r="E831" s="227"/>
      <c r="F831" s="91"/>
      <c r="G831" s="91"/>
      <c r="H831" s="91"/>
      <c r="I831" s="91"/>
      <c r="J831" s="91"/>
      <c r="K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c r="GU831" s="91"/>
      <c r="GV831" s="91"/>
      <c r="GW831" s="91"/>
      <c r="GX831" s="91"/>
      <c r="GY831" s="91"/>
      <c r="GZ831" s="91"/>
      <c r="HA831" s="91"/>
      <c r="HB831" s="91"/>
      <c r="HC831" s="91"/>
      <c r="HD831" s="91"/>
      <c r="HE831" s="91"/>
      <c r="HF831" s="91"/>
      <c r="HG831" s="91"/>
      <c r="HH831" s="91"/>
      <c r="HI831" s="91"/>
      <c r="HJ831" s="91"/>
      <c r="HK831" s="91"/>
      <c r="HL831" s="91"/>
      <c r="HM831" s="91"/>
      <c r="HN831" s="91"/>
      <c r="HO831" s="91"/>
      <c r="HP831" s="91"/>
      <c r="HQ831" s="91"/>
      <c r="HR831" s="91"/>
      <c r="HS831" s="91"/>
      <c r="HT831" s="91"/>
      <c r="HU831" s="91"/>
      <c r="HV831" s="91"/>
      <c r="HW831" s="91"/>
      <c r="HX831" s="91"/>
      <c r="HY831" s="91"/>
      <c r="HZ831" s="91"/>
      <c r="IA831" s="91"/>
      <c r="IB831" s="91"/>
      <c r="IC831" s="91"/>
      <c r="ID831" s="91"/>
      <c r="IE831" s="91"/>
    </row>
    <row r="832" spans="2:239" ht="15" x14ac:dyDescent="0.2">
      <c r="B832" s="91"/>
      <c r="C832" s="91"/>
      <c r="D832" s="91"/>
      <c r="E832" s="227"/>
      <c r="F832" s="91"/>
      <c r="G832" s="91"/>
      <c r="H832" s="91"/>
      <c r="I832" s="91"/>
      <c r="J832" s="91"/>
      <c r="K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c r="GU832" s="91"/>
      <c r="GV832" s="91"/>
      <c r="GW832" s="91"/>
      <c r="GX832" s="91"/>
      <c r="GY832" s="91"/>
      <c r="GZ832" s="91"/>
      <c r="HA832" s="91"/>
      <c r="HB832" s="91"/>
      <c r="HC832" s="91"/>
      <c r="HD832" s="91"/>
      <c r="HE832" s="91"/>
      <c r="HF832" s="91"/>
      <c r="HG832" s="91"/>
      <c r="HH832" s="91"/>
      <c r="HI832" s="91"/>
      <c r="HJ832" s="91"/>
      <c r="HK832" s="91"/>
      <c r="HL832" s="91"/>
      <c r="HM832" s="91"/>
      <c r="HN832" s="91"/>
      <c r="HO832" s="91"/>
      <c r="HP832" s="91"/>
      <c r="HQ832" s="91"/>
      <c r="HR832" s="91"/>
      <c r="HS832" s="91"/>
      <c r="HT832" s="91"/>
      <c r="HU832" s="91"/>
      <c r="HV832" s="91"/>
      <c r="HW832" s="91"/>
      <c r="HX832" s="91"/>
      <c r="HY832" s="91"/>
      <c r="HZ832" s="91"/>
      <c r="IA832" s="91"/>
      <c r="IB832" s="91"/>
      <c r="IC832" s="91"/>
      <c r="ID832" s="91"/>
      <c r="IE832" s="91"/>
    </row>
    <row r="833" spans="2:239" ht="15" x14ac:dyDescent="0.2">
      <c r="B833" s="91"/>
      <c r="C833" s="91"/>
      <c r="D833" s="91"/>
      <c r="E833" s="227"/>
      <c r="F833" s="91"/>
      <c r="G833" s="91"/>
      <c r="H833" s="91"/>
      <c r="I833" s="91"/>
      <c r="J833" s="91"/>
      <c r="K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c r="GU833" s="91"/>
      <c r="GV833" s="91"/>
      <c r="GW833" s="91"/>
      <c r="GX833" s="91"/>
      <c r="GY833" s="91"/>
      <c r="GZ833" s="91"/>
      <c r="HA833" s="91"/>
      <c r="HB833" s="91"/>
      <c r="HC833" s="91"/>
      <c r="HD833" s="91"/>
      <c r="HE833" s="91"/>
      <c r="HF833" s="91"/>
      <c r="HG833" s="91"/>
      <c r="HH833" s="91"/>
      <c r="HI833" s="91"/>
      <c r="HJ833" s="91"/>
      <c r="HK833" s="91"/>
      <c r="HL833" s="91"/>
      <c r="HM833" s="91"/>
      <c r="HN833" s="91"/>
      <c r="HO833" s="91"/>
      <c r="HP833" s="91"/>
      <c r="HQ833" s="91"/>
      <c r="HR833" s="91"/>
      <c r="HS833" s="91"/>
      <c r="HT833" s="91"/>
      <c r="HU833" s="91"/>
      <c r="HV833" s="91"/>
      <c r="HW833" s="91"/>
      <c r="HX833" s="91"/>
      <c r="HY833" s="91"/>
      <c r="HZ833" s="91"/>
      <c r="IA833" s="91"/>
      <c r="IB833" s="91"/>
      <c r="IC833" s="91"/>
      <c r="ID833" s="91"/>
      <c r="IE833" s="91"/>
    </row>
    <row r="834" spans="2:239" ht="15" x14ac:dyDescent="0.2">
      <c r="B834" s="91"/>
      <c r="C834" s="91"/>
      <c r="D834" s="91"/>
      <c r="E834" s="227"/>
      <c r="F834" s="91"/>
      <c r="G834" s="91"/>
      <c r="H834" s="91"/>
      <c r="I834" s="91"/>
      <c r="J834" s="91"/>
      <c r="K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c r="GU834" s="91"/>
      <c r="GV834" s="91"/>
      <c r="GW834" s="91"/>
      <c r="GX834" s="91"/>
      <c r="GY834" s="91"/>
      <c r="GZ834" s="91"/>
      <c r="HA834" s="91"/>
      <c r="HB834" s="91"/>
      <c r="HC834" s="91"/>
      <c r="HD834" s="91"/>
      <c r="HE834" s="91"/>
      <c r="HF834" s="91"/>
      <c r="HG834" s="91"/>
      <c r="HH834" s="91"/>
      <c r="HI834" s="91"/>
      <c r="HJ834" s="91"/>
      <c r="HK834" s="91"/>
      <c r="HL834" s="91"/>
      <c r="HM834" s="91"/>
      <c r="HN834" s="91"/>
      <c r="HO834" s="91"/>
      <c r="HP834" s="91"/>
      <c r="HQ834" s="91"/>
      <c r="HR834" s="91"/>
      <c r="HS834" s="91"/>
      <c r="HT834" s="91"/>
      <c r="HU834" s="91"/>
      <c r="HV834" s="91"/>
      <c r="HW834" s="91"/>
      <c r="HX834" s="91"/>
      <c r="HY834" s="91"/>
      <c r="HZ834" s="91"/>
      <c r="IA834" s="91"/>
      <c r="IB834" s="91"/>
      <c r="IC834" s="91"/>
      <c r="ID834" s="91"/>
      <c r="IE834" s="91"/>
    </row>
    <row r="835" spans="2:239" ht="15" x14ac:dyDescent="0.2">
      <c r="B835" s="91"/>
      <c r="C835" s="91"/>
      <c r="D835" s="91"/>
      <c r="E835" s="227"/>
      <c r="F835" s="91"/>
      <c r="G835" s="91"/>
      <c r="H835" s="91"/>
      <c r="I835" s="91"/>
      <c r="J835" s="91"/>
      <c r="K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c r="GU835" s="91"/>
      <c r="GV835" s="91"/>
      <c r="GW835" s="91"/>
      <c r="GX835" s="91"/>
      <c r="GY835" s="91"/>
      <c r="GZ835" s="91"/>
      <c r="HA835" s="91"/>
      <c r="HB835" s="91"/>
      <c r="HC835" s="91"/>
      <c r="HD835" s="91"/>
      <c r="HE835" s="91"/>
      <c r="HF835" s="91"/>
      <c r="HG835" s="91"/>
      <c r="HH835" s="91"/>
      <c r="HI835" s="91"/>
      <c r="HJ835" s="91"/>
      <c r="HK835" s="91"/>
      <c r="HL835" s="91"/>
      <c r="HM835" s="91"/>
      <c r="HN835" s="91"/>
      <c r="HO835" s="91"/>
      <c r="HP835" s="91"/>
      <c r="HQ835" s="91"/>
      <c r="HR835" s="91"/>
      <c r="HS835" s="91"/>
      <c r="HT835" s="91"/>
      <c r="HU835" s="91"/>
      <c r="HV835" s="91"/>
      <c r="HW835" s="91"/>
      <c r="HX835" s="91"/>
      <c r="HY835" s="91"/>
      <c r="HZ835" s="91"/>
      <c r="IA835" s="91"/>
      <c r="IB835" s="91"/>
      <c r="IC835" s="91"/>
      <c r="ID835" s="91"/>
      <c r="IE835" s="91"/>
    </row>
    <row r="836" spans="2:239" ht="15" x14ac:dyDescent="0.2">
      <c r="B836" s="91"/>
      <c r="C836" s="91"/>
      <c r="D836" s="91"/>
      <c r="E836" s="227"/>
      <c r="F836" s="91"/>
      <c r="G836" s="91"/>
      <c r="H836" s="91"/>
      <c r="I836" s="91"/>
      <c r="J836" s="91"/>
      <c r="K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c r="GU836" s="91"/>
      <c r="GV836" s="91"/>
      <c r="GW836" s="91"/>
      <c r="GX836" s="91"/>
      <c r="GY836" s="91"/>
      <c r="GZ836" s="91"/>
      <c r="HA836" s="91"/>
      <c r="HB836" s="91"/>
      <c r="HC836" s="91"/>
      <c r="HD836" s="91"/>
      <c r="HE836" s="91"/>
      <c r="HF836" s="91"/>
      <c r="HG836" s="91"/>
      <c r="HH836" s="91"/>
      <c r="HI836" s="91"/>
      <c r="HJ836" s="91"/>
      <c r="HK836" s="91"/>
      <c r="HL836" s="91"/>
      <c r="HM836" s="91"/>
      <c r="HN836" s="91"/>
      <c r="HO836" s="91"/>
      <c r="HP836" s="91"/>
      <c r="HQ836" s="91"/>
      <c r="HR836" s="91"/>
      <c r="HS836" s="91"/>
      <c r="HT836" s="91"/>
      <c r="HU836" s="91"/>
      <c r="HV836" s="91"/>
      <c r="HW836" s="91"/>
      <c r="HX836" s="91"/>
      <c r="HY836" s="91"/>
      <c r="HZ836" s="91"/>
      <c r="IA836" s="91"/>
      <c r="IB836" s="91"/>
      <c r="IC836" s="91"/>
      <c r="ID836" s="91"/>
      <c r="IE836" s="91"/>
    </row>
    <row r="837" spans="2:239" ht="15" x14ac:dyDescent="0.2">
      <c r="B837" s="91"/>
      <c r="C837" s="91"/>
      <c r="D837" s="91"/>
      <c r="E837" s="227"/>
      <c r="F837" s="91"/>
      <c r="G837" s="91"/>
      <c r="H837" s="91"/>
      <c r="I837" s="91"/>
      <c r="J837" s="91"/>
      <c r="K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c r="GU837" s="91"/>
      <c r="GV837" s="91"/>
      <c r="GW837" s="91"/>
      <c r="GX837" s="91"/>
      <c r="GY837" s="91"/>
      <c r="GZ837" s="91"/>
      <c r="HA837" s="91"/>
      <c r="HB837" s="91"/>
      <c r="HC837" s="91"/>
      <c r="HD837" s="91"/>
      <c r="HE837" s="91"/>
      <c r="HF837" s="91"/>
      <c r="HG837" s="91"/>
      <c r="HH837" s="91"/>
      <c r="HI837" s="91"/>
      <c r="HJ837" s="91"/>
      <c r="HK837" s="91"/>
      <c r="HL837" s="91"/>
      <c r="HM837" s="91"/>
      <c r="HN837" s="91"/>
      <c r="HO837" s="91"/>
      <c r="HP837" s="91"/>
      <c r="HQ837" s="91"/>
      <c r="HR837" s="91"/>
      <c r="HS837" s="91"/>
      <c r="HT837" s="91"/>
      <c r="HU837" s="91"/>
      <c r="HV837" s="91"/>
      <c r="HW837" s="91"/>
      <c r="HX837" s="91"/>
      <c r="HY837" s="91"/>
      <c r="HZ837" s="91"/>
      <c r="IA837" s="91"/>
      <c r="IB837" s="91"/>
      <c r="IC837" s="91"/>
      <c r="ID837" s="91"/>
      <c r="IE837" s="91"/>
    </row>
    <row r="838" spans="2:239" ht="15" x14ac:dyDescent="0.2">
      <c r="B838" s="91"/>
      <c r="C838" s="91"/>
      <c r="D838" s="91"/>
      <c r="E838" s="227"/>
      <c r="F838" s="91"/>
      <c r="G838" s="91"/>
      <c r="H838" s="91"/>
      <c r="I838" s="91"/>
      <c r="J838" s="91"/>
      <c r="K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c r="GU838" s="91"/>
      <c r="GV838" s="91"/>
      <c r="GW838" s="91"/>
      <c r="GX838" s="91"/>
      <c r="GY838" s="91"/>
      <c r="GZ838" s="91"/>
      <c r="HA838" s="91"/>
      <c r="HB838" s="91"/>
      <c r="HC838" s="91"/>
      <c r="HD838" s="91"/>
      <c r="HE838" s="91"/>
      <c r="HF838" s="91"/>
      <c r="HG838" s="91"/>
      <c r="HH838" s="91"/>
      <c r="HI838" s="91"/>
      <c r="HJ838" s="91"/>
      <c r="HK838" s="91"/>
      <c r="HL838" s="91"/>
      <c r="HM838" s="91"/>
      <c r="HN838" s="91"/>
      <c r="HO838" s="91"/>
      <c r="HP838" s="91"/>
      <c r="HQ838" s="91"/>
      <c r="HR838" s="91"/>
      <c r="HS838" s="91"/>
      <c r="HT838" s="91"/>
      <c r="HU838" s="91"/>
      <c r="HV838" s="91"/>
      <c r="HW838" s="91"/>
      <c r="HX838" s="91"/>
      <c r="HY838" s="91"/>
      <c r="HZ838" s="91"/>
      <c r="IA838" s="91"/>
      <c r="IB838" s="91"/>
      <c r="IC838" s="91"/>
      <c r="ID838" s="91"/>
      <c r="IE838" s="91"/>
    </row>
    <row r="839" spans="2:239" ht="15" x14ac:dyDescent="0.2">
      <c r="B839" s="91"/>
      <c r="C839" s="91"/>
      <c r="D839" s="91"/>
      <c r="E839" s="227"/>
      <c r="F839" s="91"/>
      <c r="G839" s="91"/>
      <c r="H839" s="91"/>
      <c r="I839" s="91"/>
      <c r="J839" s="91"/>
      <c r="K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c r="GU839" s="91"/>
      <c r="GV839" s="91"/>
      <c r="GW839" s="91"/>
      <c r="GX839" s="91"/>
      <c r="GY839" s="91"/>
      <c r="GZ839" s="91"/>
      <c r="HA839" s="91"/>
      <c r="HB839" s="91"/>
      <c r="HC839" s="91"/>
      <c r="HD839" s="91"/>
      <c r="HE839" s="91"/>
      <c r="HF839" s="91"/>
      <c r="HG839" s="91"/>
      <c r="HH839" s="91"/>
      <c r="HI839" s="91"/>
      <c r="HJ839" s="91"/>
      <c r="HK839" s="91"/>
      <c r="HL839" s="91"/>
      <c r="HM839" s="91"/>
      <c r="HN839" s="91"/>
      <c r="HO839" s="91"/>
      <c r="HP839" s="91"/>
      <c r="HQ839" s="91"/>
      <c r="HR839" s="91"/>
      <c r="HS839" s="91"/>
      <c r="HT839" s="91"/>
      <c r="HU839" s="91"/>
      <c r="HV839" s="91"/>
      <c r="HW839" s="91"/>
      <c r="HX839" s="91"/>
      <c r="HY839" s="91"/>
      <c r="HZ839" s="91"/>
      <c r="IA839" s="91"/>
      <c r="IB839" s="91"/>
      <c r="IC839" s="91"/>
      <c r="ID839" s="91"/>
      <c r="IE839" s="91"/>
    </row>
    <row r="840" spans="2:239" ht="15" x14ac:dyDescent="0.2">
      <c r="B840" s="91"/>
      <c r="C840" s="91"/>
      <c r="D840" s="91"/>
      <c r="E840" s="227"/>
      <c r="F840" s="91"/>
      <c r="G840" s="91"/>
      <c r="H840" s="91"/>
      <c r="I840" s="91"/>
      <c r="J840" s="91"/>
      <c r="K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c r="GU840" s="91"/>
      <c r="GV840" s="91"/>
      <c r="GW840" s="91"/>
      <c r="GX840" s="91"/>
      <c r="GY840" s="91"/>
      <c r="GZ840" s="91"/>
      <c r="HA840" s="91"/>
      <c r="HB840" s="91"/>
      <c r="HC840" s="91"/>
      <c r="HD840" s="91"/>
      <c r="HE840" s="91"/>
      <c r="HF840" s="91"/>
      <c r="HG840" s="91"/>
      <c r="HH840" s="91"/>
      <c r="HI840" s="91"/>
      <c r="HJ840" s="91"/>
      <c r="HK840" s="91"/>
      <c r="HL840" s="91"/>
      <c r="HM840" s="91"/>
      <c r="HN840" s="91"/>
      <c r="HO840" s="91"/>
      <c r="HP840" s="91"/>
      <c r="HQ840" s="91"/>
      <c r="HR840" s="91"/>
      <c r="HS840" s="91"/>
      <c r="HT840" s="91"/>
      <c r="HU840" s="91"/>
      <c r="HV840" s="91"/>
      <c r="HW840" s="91"/>
      <c r="HX840" s="91"/>
      <c r="HY840" s="91"/>
      <c r="HZ840" s="91"/>
      <c r="IA840" s="91"/>
      <c r="IB840" s="91"/>
      <c r="IC840" s="91"/>
      <c r="ID840" s="91"/>
      <c r="IE840" s="91"/>
    </row>
    <row r="841" spans="2:239" ht="15" x14ac:dyDescent="0.2">
      <c r="B841" s="91"/>
      <c r="C841" s="91"/>
      <c r="D841" s="91"/>
      <c r="E841" s="227"/>
      <c r="F841" s="91"/>
      <c r="G841" s="91"/>
      <c r="H841" s="91"/>
      <c r="I841" s="91"/>
      <c r="J841" s="91"/>
      <c r="K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c r="GU841" s="91"/>
      <c r="GV841" s="91"/>
      <c r="GW841" s="91"/>
      <c r="GX841" s="91"/>
      <c r="GY841" s="91"/>
      <c r="GZ841" s="91"/>
      <c r="HA841" s="91"/>
      <c r="HB841" s="91"/>
      <c r="HC841" s="91"/>
      <c r="HD841" s="91"/>
      <c r="HE841" s="91"/>
      <c r="HF841" s="91"/>
      <c r="HG841" s="91"/>
      <c r="HH841" s="91"/>
      <c r="HI841" s="91"/>
      <c r="HJ841" s="91"/>
      <c r="HK841" s="91"/>
      <c r="HL841" s="91"/>
      <c r="HM841" s="91"/>
      <c r="HN841" s="91"/>
      <c r="HO841" s="91"/>
      <c r="HP841" s="91"/>
      <c r="HQ841" s="91"/>
      <c r="HR841" s="91"/>
      <c r="HS841" s="91"/>
      <c r="HT841" s="91"/>
      <c r="HU841" s="91"/>
      <c r="HV841" s="91"/>
      <c r="HW841" s="91"/>
      <c r="HX841" s="91"/>
      <c r="HY841" s="91"/>
      <c r="HZ841" s="91"/>
      <c r="IA841" s="91"/>
      <c r="IB841" s="91"/>
      <c r="IC841" s="91"/>
      <c r="ID841" s="91"/>
      <c r="IE841" s="91"/>
    </row>
    <row r="842" spans="2:239" ht="15" x14ac:dyDescent="0.2">
      <c r="B842" s="91"/>
      <c r="C842" s="91"/>
      <c r="D842" s="91"/>
      <c r="E842" s="227"/>
      <c r="F842" s="91"/>
      <c r="G842" s="91"/>
      <c r="H842" s="91"/>
      <c r="I842" s="91"/>
      <c r="J842" s="91"/>
      <c r="K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c r="GU842" s="91"/>
      <c r="GV842" s="91"/>
      <c r="GW842" s="91"/>
      <c r="GX842" s="91"/>
      <c r="GY842" s="91"/>
      <c r="GZ842" s="91"/>
      <c r="HA842" s="91"/>
      <c r="HB842" s="91"/>
      <c r="HC842" s="91"/>
      <c r="HD842" s="91"/>
      <c r="HE842" s="91"/>
      <c r="HF842" s="91"/>
      <c r="HG842" s="91"/>
      <c r="HH842" s="91"/>
      <c r="HI842" s="91"/>
      <c r="HJ842" s="91"/>
      <c r="HK842" s="91"/>
      <c r="HL842" s="91"/>
      <c r="HM842" s="91"/>
      <c r="HN842" s="91"/>
      <c r="HO842" s="91"/>
      <c r="HP842" s="91"/>
      <c r="HQ842" s="91"/>
      <c r="HR842" s="91"/>
      <c r="HS842" s="91"/>
      <c r="HT842" s="91"/>
      <c r="HU842" s="91"/>
      <c r="HV842" s="91"/>
      <c r="HW842" s="91"/>
      <c r="HX842" s="91"/>
      <c r="HY842" s="91"/>
      <c r="HZ842" s="91"/>
      <c r="IA842" s="91"/>
      <c r="IB842" s="91"/>
      <c r="IC842" s="91"/>
      <c r="ID842" s="91"/>
      <c r="IE842" s="91"/>
    </row>
    <row r="843" spans="2:239" ht="15" x14ac:dyDescent="0.2">
      <c r="B843" s="91"/>
      <c r="C843" s="91"/>
      <c r="D843" s="91"/>
      <c r="E843" s="227"/>
      <c r="F843" s="91"/>
      <c r="G843" s="91"/>
      <c r="H843" s="91"/>
      <c r="I843" s="91"/>
      <c r="J843" s="91"/>
      <c r="K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c r="GU843" s="91"/>
      <c r="GV843" s="91"/>
      <c r="GW843" s="91"/>
      <c r="GX843" s="91"/>
      <c r="GY843" s="91"/>
      <c r="GZ843" s="91"/>
      <c r="HA843" s="91"/>
      <c r="HB843" s="91"/>
      <c r="HC843" s="91"/>
      <c r="HD843" s="91"/>
      <c r="HE843" s="91"/>
      <c r="HF843" s="91"/>
      <c r="HG843" s="91"/>
      <c r="HH843" s="91"/>
      <c r="HI843" s="91"/>
      <c r="HJ843" s="91"/>
      <c r="HK843" s="91"/>
      <c r="HL843" s="91"/>
      <c r="HM843" s="91"/>
      <c r="HN843" s="91"/>
      <c r="HO843" s="91"/>
      <c r="HP843" s="91"/>
      <c r="HQ843" s="91"/>
      <c r="HR843" s="91"/>
      <c r="HS843" s="91"/>
      <c r="HT843" s="91"/>
      <c r="HU843" s="91"/>
      <c r="HV843" s="91"/>
      <c r="HW843" s="91"/>
      <c r="HX843" s="91"/>
      <c r="HY843" s="91"/>
      <c r="HZ843" s="91"/>
      <c r="IA843" s="91"/>
      <c r="IB843" s="91"/>
      <c r="IC843" s="91"/>
      <c r="ID843" s="91"/>
      <c r="IE843" s="91"/>
    </row>
    <row r="844" spans="2:239" ht="15" x14ac:dyDescent="0.2">
      <c r="B844" s="91"/>
      <c r="C844" s="91"/>
      <c r="D844" s="91"/>
      <c r="E844" s="227"/>
      <c r="F844" s="91"/>
      <c r="G844" s="91"/>
      <c r="H844" s="91"/>
      <c r="I844" s="91"/>
      <c r="J844" s="91"/>
      <c r="K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c r="GU844" s="91"/>
      <c r="GV844" s="91"/>
      <c r="GW844" s="91"/>
      <c r="GX844" s="91"/>
      <c r="GY844" s="91"/>
      <c r="GZ844" s="91"/>
      <c r="HA844" s="91"/>
      <c r="HB844" s="91"/>
      <c r="HC844" s="91"/>
      <c r="HD844" s="91"/>
      <c r="HE844" s="91"/>
      <c r="HF844" s="91"/>
      <c r="HG844" s="91"/>
      <c r="HH844" s="91"/>
      <c r="HI844" s="91"/>
      <c r="HJ844" s="91"/>
      <c r="HK844" s="91"/>
      <c r="HL844" s="91"/>
      <c r="HM844" s="91"/>
      <c r="HN844" s="91"/>
      <c r="HO844" s="91"/>
      <c r="HP844" s="91"/>
      <c r="HQ844" s="91"/>
      <c r="HR844" s="91"/>
      <c r="HS844" s="91"/>
      <c r="HT844" s="91"/>
      <c r="HU844" s="91"/>
      <c r="HV844" s="91"/>
      <c r="HW844" s="91"/>
      <c r="HX844" s="91"/>
      <c r="HY844" s="91"/>
      <c r="HZ844" s="91"/>
      <c r="IA844" s="91"/>
      <c r="IB844" s="91"/>
      <c r="IC844" s="91"/>
      <c r="ID844" s="91"/>
      <c r="IE844" s="91"/>
    </row>
    <row r="845" spans="2:239" ht="15" x14ac:dyDescent="0.2">
      <c r="B845" s="91"/>
      <c r="C845" s="91"/>
      <c r="D845" s="91"/>
      <c r="E845" s="227"/>
      <c r="F845" s="91"/>
      <c r="G845" s="91"/>
      <c r="H845" s="91"/>
      <c r="I845" s="91"/>
      <c r="J845" s="91"/>
      <c r="K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c r="GU845" s="91"/>
      <c r="GV845" s="91"/>
      <c r="GW845" s="91"/>
      <c r="GX845" s="91"/>
      <c r="GY845" s="91"/>
      <c r="GZ845" s="91"/>
      <c r="HA845" s="91"/>
      <c r="HB845" s="91"/>
      <c r="HC845" s="91"/>
      <c r="HD845" s="91"/>
      <c r="HE845" s="91"/>
      <c r="HF845" s="91"/>
      <c r="HG845" s="91"/>
      <c r="HH845" s="91"/>
      <c r="HI845" s="91"/>
      <c r="HJ845" s="91"/>
      <c r="HK845" s="91"/>
      <c r="HL845" s="91"/>
      <c r="HM845" s="91"/>
      <c r="HN845" s="91"/>
      <c r="HO845" s="91"/>
      <c r="HP845" s="91"/>
      <c r="HQ845" s="91"/>
      <c r="HR845" s="91"/>
      <c r="HS845" s="91"/>
      <c r="HT845" s="91"/>
      <c r="HU845" s="91"/>
      <c r="HV845" s="91"/>
      <c r="HW845" s="91"/>
      <c r="HX845" s="91"/>
      <c r="HY845" s="91"/>
      <c r="HZ845" s="91"/>
      <c r="IA845" s="91"/>
      <c r="IB845" s="91"/>
      <c r="IC845" s="91"/>
      <c r="ID845" s="91"/>
      <c r="IE845" s="91"/>
    </row>
    <row r="846" spans="2:239" ht="15" x14ac:dyDescent="0.2">
      <c r="B846" s="91"/>
      <c r="C846" s="91"/>
      <c r="D846" s="91"/>
      <c r="E846" s="227"/>
      <c r="F846" s="91"/>
      <c r="G846" s="91"/>
      <c r="H846" s="91"/>
      <c r="I846" s="91"/>
      <c r="J846" s="91"/>
      <c r="K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c r="GU846" s="91"/>
      <c r="GV846" s="91"/>
      <c r="GW846" s="91"/>
      <c r="GX846" s="91"/>
      <c r="GY846" s="91"/>
      <c r="GZ846" s="91"/>
      <c r="HA846" s="91"/>
      <c r="HB846" s="91"/>
      <c r="HC846" s="91"/>
      <c r="HD846" s="91"/>
      <c r="HE846" s="91"/>
      <c r="HF846" s="91"/>
      <c r="HG846" s="91"/>
      <c r="HH846" s="91"/>
      <c r="HI846" s="91"/>
      <c r="HJ846" s="91"/>
      <c r="HK846" s="91"/>
      <c r="HL846" s="91"/>
      <c r="HM846" s="91"/>
      <c r="HN846" s="91"/>
      <c r="HO846" s="91"/>
      <c r="HP846" s="91"/>
      <c r="HQ846" s="91"/>
      <c r="HR846" s="91"/>
      <c r="HS846" s="91"/>
      <c r="HT846" s="91"/>
      <c r="HU846" s="91"/>
      <c r="HV846" s="91"/>
      <c r="HW846" s="91"/>
      <c r="HX846" s="91"/>
      <c r="HY846" s="91"/>
      <c r="HZ846" s="91"/>
      <c r="IA846" s="91"/>
      <c r="IB846" s="91"/>
      <c r="IC846" s="91"/>
      <c r="ID846" s="91"/>
      <c r="IE846" s="91"/>
    </row>
    <row r="847" spans="2:239" ht="15" x14ac:dyDescent="0.2">
      <c r="B847" s="91"/>
      <c r="C847" s="91"/>
      <c r="D847" s="91"/>
      <c r="E847" s="227"/>
      <c r="F847" s="91"/>
      <c r="G847" s="91"/>
      <c r="H847" s="91"/>
      <c r="I847" s="91"/>
      <c r="J847" s="91"/>
      <c r="K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c r="GU847" s="91"/>
      <c r="GV847" s="91"/>
      <c r="GW847" s="91"/>
      <c r="GX847" s="91"/>
      <c r="GY847" s="91"/>
      <c r="GZ847" s="91"/>
      <c r="HA847" s="91"/>
      <c r="HB847" s="91"/>
      <c r="HC847" s="91"/>
      <c r="HD847" s="91"/>
      <c r="HE847" s="91"/>
      <c r="HF847" s="91"/>
      <c r="HG847" s="91"/>
      <c r="HH847" s="91"/>
      <c r="HI847" s="91"/>
      <c r="HJ847" s="91"/>
      <c r="HK847" s="91"/>
      <c r="HL847" s="91"/>
      <c r="HM847" s="91"/>
      <c r="HN847" s="91"/>
      <c r="HO847" s="91"/>
      <c r="HP847" s="91"/>
      <c r="HQ847" s="91"/>
      <c r="HR847" s="91"/>
      <c r="HS847" s="91"/>
      <c r="HT847" s="91"/>
      <c r="HU847" s="91"/>
      <c r="HV847" s="91"/>
      <c r="HW847" s="91"/>
      <c r="HX847" s="91"/>
      <c r="HY847" s="91"/>
      <c r="HZ847" s="91"/>
      <c r="IA847" s="91"/>
      <c r="IB847" s="91"/>
      <c r="IC847" s="91"/>
      <c r="ID847" s="91"/>
      <c r="IE847" s="91"/>
    </row>
    <row r="848" spans="2:239" ht="15" x14ac:dyDescent="0.2">
      <c r="B848" s="91"/>
      <c r="C848" s="91"/>
      <c r="D848" s="91"/>
      <c r="E848" s="227"/>
      <c r="F848" s="91"/>
      <c r="G848" s="91"/>
      <c r="H848" s="91"/>
      <c r="I848" s="91"/>
      <c r="J848" s="91"/>
      <c r="K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c r="GU848" s="91"/>
      <c r="GV848" s="91"/>
      <c r="GW848" s="91"/>
      <c r="GX848" s="91"/>
      <c r="GY848" s="91"/>
      <c r="GZ848" s="91"/>
      <c r="HA848" s="91"/>
      <c r="HB848" s="91"/>
      <c r="HC848" s="91"/>
      <c r="HD848" s="91"/>
      <c r="HE848" s="91"/>
      <c r="HF848" s="91"/>
      <c r="HG848" s="91"/>
      <c r="HH848" s="91"/>
      <c r="HI848" s="91"/>
      <c r="HJ848" s="91"/>
      <c r="HK848" s="91"/>
      <c r="HL848" s="91"/>
      <c r="HM848" s="91"/>
      <c r="HN848" s="91"/>
      <c r="HO848" s="91"/>
      <c r="HP848" s="91"/>
      <c r="HQ848" s="91"/>
      <c r="HR848" s="91"/>
      <c r="HS848" s="91"/>
      <c r="HT848" s="91"/>
      <c r="HU848" s="91"/>
      <c r="HV848" s="91"/>
      <c r="HW848" s="91"/>
      <c r="HX848" s="91"/>
      <c r="HY848" s="91"/>
      <c r="HZ848" s="91"/>
      <c r="IA848" s="91"/>
      <c r="IB848" s="91"/>
      <c r="IC848" s="91"/>
      <c r="ID848" s="91"/>
      <c r="IE848" s="91"/>
    </row>
    <row r="849" spans="2:239" ht="15" x14ac:dyDescent="0.2">
      <c r="B849" s="91"/>
      <c r="C849" s="91"/>
      <c r="D849" s="91"/>
      <c r="E849" s="227"/>
      <c r="F849" s="91"/>
      <c r="G849" s="91"/>
      <c r="H849" s="91"/>
      <c r="I849" s="91"/>
      <c r="J849" s="91"/>
      <c r="K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c r="GU849" s="91"/>
      <c r="GV849" s="91"/>
      <c r="GW849" s="91"/>
      <c r="GX849" s="91"/>
      <c r="GY849" s="91"/>
      <c r="GZ849" s="91"/>
      <c r="HA849" s="91"/>
      <c r="HB849" s="91"/>
      <c r="HC849" s="91"/>
      <c r="HD849" s="91"/>
      <c r="HE849" s="91"/>
      <c r="HF849" s="91"/>
      <c r="HG849" s="91"/>
      <c r="HH849" s="91"/>
      <c r="HI849" s="91"/>
      <c r="HJ849" s="91"/>
      <c r="HK849" s="91"/>
      <c r="HL849" s="91"/>
      <c r="HM849" s="91"/>
      <c r="HN849" s="91"/>
      <c r="HO849" s="91"/>
      <c r="HP849" s="91"/>
      <c r="HQ849" s="91"/>
      <c r="HR849" s="91"/>
      <c r="HS849" s="91"/>
      <c r="HT849" s="91"/>
      <c r="HU849" s="91"/>
      <c r="HV849" s="91"/>
      <c r="HW849" s="91"/>
      <c r="HX849" s="91"/>
      <c r="HY849" s="91"/>
      <c r="HZ849" s="91"/>
      <c r="IA849" s="91"/>
      <c r="IB849" s="91"/>
      <c r="IC849" s="91"/>
      <c r="ID849" s="91"/>
      <c r="IE849" s="91"/>
    </row>
    <row r="850" spans="2:239" ht="15" x14ac:dyDescent="0.2">
      <c r="B850" s="91"/>
      <c r="C850" s="91"/>
      <c r="D850" s="91"/>
      <c r="E850" s="227"/>
      <c r="F850" s="91"/>
      <c r="G850" s="91"/>
      <c r="H850" s="91"/>
      <c r="I850" s="91"/>
      <c r="J850" s="91"/>
      <c r="K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c r="GU850" s="91"/>
      <c r="GV850" s="91"/>
      <c r="GW850" s="91"/>
      <c r="GX850" s="91"/>
      <c r="GY850" s="91"/>
      <c r="GZ850" s="91"/>
      <c r="HA850" s="91"/>
      <c r="HB850" s="91"/>
      <c r="HC850" s="91"/>
      <c r="HD850" s="91"/>
      <c r="HE850" s="91"/>
      <c r="HF850" s="91"/>
      <c r="HG850" s="91"/>
      <c r="HH850" s="91"/>
      <c r="HI850" s="91"/>
      <c r="HJ850" s="91"/>
      <c r="HK850" s="91"/>
      <c r="HL850" s="91"/>
      <c r="HM850" s="91"/>
      <c r="HN850" s="91"/>
      <c r="HO850" s="91"/>
      <c r="HP850" s="91"/>
      <c r="HQ850" s="91"/>
      <c r="HR850" s="91"/>
      <c r="HS850" s="91"/>
      <c r="HT850" s="91"/>
      <c r="HU850" s="91"/>
      <c r="HV850" s="91"/>
      <c r="HW850" s="91"/>
      <c r="HX850" s="91"/>
      <c r="HY850" s="91"/>
      <c r="HZ850" s="91"/>
      <c r="IA850" s="91"/>
      <c r="IB850" s="91"/>
      <c r="IC850" s="91"/>
      <c r="ID850" s="91"/>
      <c r="IE850" s="91"/>
    </row>
    <row r="851" spans="2:239" ht="15" x14ac:dyDescent="0.2">
      <c r="B851" s="91"/>
      <c r="C851" s="91"/>
      <c r="D851" s="91"/>
      <c r="E851" s="227"/>
      <c r="F851" s="91"/>
      <c r="G851" s="91"/>
      <c r="H851" s="91"/>
      <c r="I851" s="91"/>
      <c r="J851" s="91"/>
      <c r="K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c r="GU851" s="91"/>
      <c r="GV851" s="91"/>
      <c r="GW851" s="91"/>
      <c r="GX851" s="91"/>
      <c r="GY851" s="91"/>
      <c r="GZ851" s="91"/>
      <c r="HA851" s="91"/>
      <c r="HB851" s="91"/>
      <c r="HC851" s="91"/>
      <c r="HD851" s="91"/>
      <c r="HE851" s="91"/>
      <c r="HF851" s="91"/>
      <c r="HG851" s="91"/>
      <c r="HH851" s="91"/>
      <c r="HI851" s="91"/>
      <c r="HJ851" s="91"/>
      <c r="HK851" s="91"/>
      <c r="HL851" s="91"/>
      <c r="HM851" s="91"/>
      <c r="HN851" s="91"/>
      <c r="HO851" s="91"/>
      <c r="HP851" s="91"/>
      <c r="HQ851" s="91"/>
      <c r="HR851" s="91"/>
      <c r="HS851" s="91"/>
      <c r="HT851" s="91"/>
      <c r="HU851" s="91"/>
      <c r="HV851" s="91"/>
      <c r="HW851" s="91"/>
      <c r="HX851" s="91"/>
      <c r="HY851" s="91"/>
      <c r="HZ851" s="91"/>
      <c r="IA851" s="91"/>
      <c r="IB851" s="91"/>
      <c r="IC851" s="91"/>
      <c r="ID851" s="91"/>
      <c r="IE851" s="91"/>
    </row>
    <row r="852" spans="2:239" ht="15" x14ac:dyDescent="0.2">
      <c r="B852" s="91"/>
      <c r="C852" s="91"/>
      <c r="D852" s="91"/>
      <c r="E852" s="227"/>
      <c r="F852" s="91"/>
      <c r="G852" s="91"/>
      <c r="H852" s="91"/>
      <c r="I852" s="91"/>
      <c r="J852" s="91"/>
      <c r="K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c r="GU852" s="91"/>
      <c r="GV852" s="91"/>
      <c r="GW852" s="91"/>
      <c r="GX852" s="91"/>
      <c r="GY852" s="91"/>
      <c r="GZ852" s="91"/>
      <c r="HA852" s="91"/>
      <c r="HB852" s="91"/>
      <c r="HC852" s="91"/>
      <c r="HD852" s="91"/>
      <c r="HE852" s="91"/>
      <c r="HF852" s="91"/>
      <c r="HG852" s="91"/>
      <c r="HH852" s="91"/>
      <c r="HI852" s="91"/>
      <c r="HJ852" s="91"/>
      <c r="HK852" s="91"/>
      <c r="HL852" s="91"/>
      <c r="HM852" s="91"/>
      <c r="HN852" s="91"/>
      <c r="HO852" s="91"/>
      <c r="HP852" s="91"/>
      <c r="HQ852" s="91"/>
      <c r="HR852" s="91"/>
      <c r="HS852" s="91"/>
      <c r="HT852" s="91"/>
      <c r="HU852" s="91"/>
      <c r="HV852" s="91"/>
      <c r="HW852" s="91"/>
      <c r="HX852" s="91"/>
      <c r="HY852" s="91"/>
      <c r="HZ852" s="91"/>
      <c r="IA852" s="91"/>
      <c r="IB852" s="91"/>
      <c r="IC852" s="91"/>
      <c r="ID852" s="91"/>
      <c r="IE852" s="91"/>
    </row>
    <row r="853" spans="2:239" ht="15" x14ac:dyDescent="0.2">
      <c r="B853" s="91"/>
      <c r="C853" s="91"/>
      <c r="D853" s="91"/>
      <c r="E853" s="227"/>
      <c r="F853" s="91"/>
      <c r="G853" s="91"/>
      <c r="H853" s="91"/>
      <c r="I853" s="91"/>
      <c r="J853" s="91"/>
      <c r="K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c r="GU853" s="91"/>
      <c r="GV853" s="91"/>
      <c r="GW853" s="91"/>
      <c r="GX853" s="91"/>
      <c r="GY853" s="91"/>
      <c r="GZ853" s="91"/>
      <c r="HA853" s="91"/>
      <c r="HB853" s="91"/>
      <c r="HC853" s="91"/>
      <c r="HD853" s="91"/>
      <c r="HE853" s="91"/>
      <c r="HF853" s="91"/>
      <c r="HG853" s="91"/>
      <c r="HH853" s="91"/>
      <c r="HI853" s="91"/>
      <c r="HJ853" s="91"/>
      <c r="HK853" s="91"/>
      <c r="HL853" s="91"/>
      <c r="HM853" s="91"/>
      <c r="HN853" s="91"/>
      <c r="HO853" s="91"/>
      <c r="HP853" s="91"/>
      <c r="HQ853" s="91"/>
      <c r="HR853" s="91"/>
      <c r="HS853" s="91"/>
      <c r="HT853" s="91"/>
      <c r="HU853" s="91"/>
      <c r="HV853" s="91"/>
      <c r="HW853" s="91"/>
      <c r="HX853" s="91"/>
      <c r="HY853" s="91"/>
      <c r="HZ853" s="91"/>
      <c r="IA853" s="91"/>
      <c r="IB853" s="91"/>
      <c r="IC853" s="91"/>
      <c r="ID853" s="91"/>
      <c r="IE853" s="91"/>
    </row>
    <row r="854" spans="2:239" ht="15" x14ac:dyDescent="0.2">
      <c r="B854" s="91"/>
      <c r="C854" s="91"/>
      <c r="D854" s="91"/>
      <c r="E854" s="227"/>
      <c r="F854" s="91"/>
      <c r="G854" s="91"/>
      <c r="H854" s="91"/>
      <c r="I854" s="91"/>
      <c r="J854" s="91"/>
      <c r="K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c r="GU854" s="91"/>
      <c r="GV854" s="91"/>
      <c r="GW854" s="91"/>
      <c r="GX854" s="91"/>
      <c r="GY854" s="91"/>
      <c r="GZ854" s="91"/>
      <c r="HA854" s="91"/>
      <c r="HB854" s="91"/>
      <c r="HC854" s="91"/>
      <c r="HD854" s="91"/>
      <c r="HE854" s="91"/>
      <c r="HF854" s="91"/>
      <c r="HG854" s="91"/>
      <c r="HH854" s="91"/>
      <c r="HI854" s="91"/>
      <c r="HJ854" s="91"/>
      <c r="HK854" s="91"/>
      <c r="HL854" s="91"/>
      <c r="HM854" s="91"/>
      <c r="HN854" s="91"/>
      <c r="HO854" s="91"/>
      <c r="HP854" s="91"/>
      <c r="HQ854" s="91"/>
      <c r="HR854" s="91"/>
      <c r="HS854" s="91"/>
      <c r="HT854" s="91"/>
      <c r="HU854" s="91"/>
      <c r="HV854" s="91"/>
      <c r="HW854" s="91"/>
      <c r="HX854" s="91"/>
      <c r="HY854" s="91"/>
      <c r="HZ854" s="91"/>
      <c r="IA854" s="91"/>
      <c r="IB854" s="91"/>
      <c r="IC854" s="91"/>
      <c r="ID854" s="91"/>
      <c r="IE854" s="91"/>
    </row>
    <row r="855" spans="2:239" ht="15" x14ac:dyDescent="0.2">
      <c r="B855" s="91"/>
      <c r="C855" s="91"/>
      <c r="D855" s="91"/>
      <c r="E855" s="227"/>
      <c r="F855" s="91"/>
      <c r="G855" s="91"/>
      <c r="H855" s="91"/>
      <c r="I855" s="91"/>
      <c r="J855" s="91"/>
      <c r="K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c r="GU855" s="91"/>
      <c r="GV855" s="91"/>
      <c r="GW855" s="91"/>
      <c r="GX855" s="91"/>
      <c r="GY855" s="91"/>
      <c r="GZ855" s="91"/>
      <c r="HA855" s="91"/>
      <c r="HB855" s="91"/>
      <c r="HC855" s="91"/>
      <c r="HD855" s="91"/>
      <c r="HE855" s="91"/>
      <c r="HF855" s="91"/>
      <c r="HG855" s="91"/>
      <c r="HH855" s="91"/>
      <c r="HI855" s="91"/>
      <c r="HJ855" s="91"/>
      <c r="HK855" s="91"/>
      <c r="HL855" s="91"/>
      <c r="HM855" s="91"/>
      <c r="HN855" s="91"/>
      <c r="HO855" s="91"/>
      <c r="HP855" s="91"/>
      <c r="HQ855" s="91"/>
      <c r="HR855" s="91"/>
      <c r="HS855" s="91"/>
      <c r="HT855" s="91"/>
      <c r="HU855" s="91"/>
      <c r="HV855" s="91"/>
      <c r="HW855" s="91"/>
      <c r="HX855" s="91"/>
      <c r="HY855" s="91"/>
      <c r="HZ855" s="91"/>
      <c r="IA855" s="91"/>
      <c r="IB855" s="91"/>
      <c r="IC855" s="91"/>
      <c r="ID855" s="91"/>
      <c r="IE855" s="91"/>
    </row>
    <row r="856" spans="2:239" ht="15" x14ac:dyDescent="0.2">
      <c r="B856" s="91"/>
      <c r="C856" s="91"/>
      <c r="D856" s="91"/>
      <c r="E856" s="227"/>
      <c r="F856" s="91"/>
      <c r="G856" s="91"/>
      <c r="H856" s="91"/>
      <c r="I856" s="91"/>
      <c r="J856" s="91"/>
      <c r="K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c r="GU856" s="91"/>
      <c r="GV856" s="91"/>
      <c r="GW856" s="91"/>
      <c r="GX856" s="91"/>
      <c r="GY856" s="91"/>
      <c r="GZ856" s="91"/>
      <c r="HA856" s="91"/>
      <c r="HB856" s="91"/>
      <c r="HC856" s="91"/>
      <c r="HD856" s="91"/>
      <c r="HE856" s="91"/>
      <c r="HF856" s="91"/>
      <c r="HG856" s="91"/>
      <c r="HH856" s="91"/>
      <c r="HI856" s="91"/>
      <c r="HJ856" s="91"/>
      <c r="HK856" s="91"/>
      <c r="HL856" s="91"/>
      <c r="HM856" s="91"/>
      <c r="HN856" s="91"/>
      <c r="HO856" s="91"/>
      <c r="HP856" s="91"/>
      <c r="HQ856" s="91"/>
      <c r="HR856" s="91"/>
      <c r="HS856" s="91"/>
      <c r="HT856" s="91"/>
      <c r="HU856" s="91"/>
      <c r="HV856" s="91"/>
      <c r="HW856" s="91"/>
      <c r="HX856" s="91"/>
      <c r="HY856" s="91"/>
      <c r="HZ856" s="91"/>
      <c r="IA856" s="91"/>
      <c r="IB856" s="91"/>
      <c r="IC856" s="91"/>
      <c r="ID856" s="91"/>
      <c r="IE856" s="91"/>
    </row>
    <row r="857" spans="2:239" ht="15" x14ac:dyDescent="0.2">
      <c r="B857" s="91"/>
      <c r="C857" s="91"/>
      <c r="D857" s="91"/>
      <c r="E857" s="227"/>
      <c r="F857" s="91"/>
      <c r="G857" s="91"/>
      <c r="H857" s="91"/>
      <c r="I857" s="91"/>
      <c r="J857" s="91"/>
      <c r="K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c r="GU857" s="91"/>
      <c r="GV857" s="91"/>
      <c r="GW857" s="91"/>
      <c r="GX857" s="91"/>
      <c r="GY857" s="91"/>
      <c r="GZ857" s="91"/>
      <c r="HA857" s="91"/>
      <c r="HB857" s="91"/>
      <c r="HC857" s="91"/>
      <c r="HD857" s="91"/>
      <c r="HE857" s="91"/>
      <c r="HF857" s="91"/>
      <c r="HG857" s="91"/>
      <c r="HH857" s="91"/>
      <c r="HI857" s="91"/>
      <c r="HJ857" s="91"/>
      <c r="HK857" s="91"/>
      <c r="HL857" s="91"/>
      <c r="HM857" s="91"/>
      <c r="HN857" s="91"/>
      <c r="HO857" s="91"/>
      <c r="HP857" s="91"/>
      <c r="HQ857" s="91"/>
      <c r="HR857" s="91"/>
      <c r="HS857" s="91"/>
      <c r="HT857" s="91"/>
      <c r="HU857" s="91"/>
      <c r="HV857" s="91"/>
      <c r="HW857" s="91"/>
      <c r="HX857" s="91"/>
      <c r="HY857" s="91"/>
      <c r="HZ857" s="91"/>
      <c r="IA857" s="91"/>
      <c r="IB857" s="91"/>
      <c r="IC857" s="91"/>
      <c r="ID857" s="91"/>
      <c r="IE857" s="91"/>
    </row>
    <row r="858" spans="2:239" ht="15" x14ac:dyDescent="0.2">
      <c r="B858" s="91"/>
      <c r="C858" s="91"/>
      <c r="D858" s="91"/>
      <c r="E858" s="227"/>
      <c r="F858" s="91"/>
      <c r="G858" s="91"/>
      <c r="H858" s="91"/>
      <c r="I858" s="91"/>
      <c r="J858" s="91"/>
      <c r="K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c r="GU858" s="91"/>
      <c r="GV858" s="91"/>
      <c r="GW858" s="91"/>
      <c r="GX858" s="91"/>
      <c r="GY858" s="91"/>
      <c r="GZ858" s="91"/>
      <c r="HA858" s="91"/>
      <c r="HB858" s="91"/>
      <c r="HC858" s="91"/>
      <c r="HD858" s="91"/>
      <c r="HE858" s="91"/>
      <c r="HF858" s="91"/>
      <c r="HG858" s="91"/>
      <c r="HH858" s="91"/>
      <c r="HI858" s="91"/>
      <c r="HJ858" s="91"/>
      <c r="HK858" s="91"/>
      <c r="HL858" s="91"/>
      <c r="HM858" s="91"/>
      <c r="HN858" s="91"/>
      <c r="HO858" s="91"/>
      <c r="HP858" s="91"/>
      <c r="HQ858" s="91"/>
      <c r="HR858" s="91"/>
      <c r="HS858" s="91"/>
      <c r="HT858" s="91"/>
      <c r="HU858" s="91"/>
      <c r="HV858" s="91"/>
      <c r="HW858" s="91"/>
      <c r="HX858" s="91"/>
      <c r="HY858" s="91"/>
      <c r="HZ858" s="91"/>
      <c r="IA858" s="91"/>
      <c r="IB858" s="91"/>
      <c r="IC858" s="91"/>
      <c r="ID858" s="91"/>
      <c r="IE858" s="91"/>
    </row>
    <row r="859" spans="2:239" ht="15" x14ac:dyDescent="0.2">
      <c r="B859" s="91"/>
      <c r="C859" s="91"/>
      <c r="D859" s="91"/>
      <c r="E859" s="227"/>
      <c r="F859" s="91"/>
      <c r="G859" s="91"/>
      <c r="H859" s="91"/>
      <c r="I859" s="91"/>
      <c r="J859" s="91"/>
      <c r="K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c r="HV859" s="91"/>
      <c r="HW859" s="91"/>
      <c r="HX859" s="91"/>
      <c r="HY859" s="91"/>
      <c r="HZ859" s="91"/>
      <c r="IA859" s="91"/>
      <c r="IB859" s="91"/>
      <c r="IC859" s="91"/>
      <c r="ID859" s="91"/>
      <c r="IE859" s="91"/>
    </row>
    <row r="860" spans="2:239" ht="15" x14ac:dyDescent="0.2">
      <c r="B860" s="91"/>
      <c r="C860" s="91"/>
      <c r="D860" s="91"/>
      <c r="E860" s="227"/>
      <c r="F860" s="91"/>
      <c r="G860" s="91"/>
      <c r="H860" s="91"/>
      <c r="I860" s="91"/>
      <c r="J860" s="91"/>
      <c r="K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c r="GU860" s="91"/>
      <c r="GV860" s="91"/>
      <c r="GW860" s="91"/>
      <c r="GX860" s="91"/>
      <c r="GY860" s="91"/>
      <c r="GZ860" s="91"/>
      <c r="HA860" s="91"/>
      <c r="HB860" s="91"/>
      <c r="HC860" s="91"/>
      <c r="HD860" s="91"/>
      <c r="HE860" s="91"/>
      <c r="HF860" s="91"/>
      <c r="HG860" s="91"/>
      <c r="HH860" s="91"/>
      <c r="HI860" s="91"/>
      <c r="HJ860" s="91"/>
      <c r="HK860" s="91"/>
      <c r="HL860" s="91"/>
      <c r="HM860" s="91"/>
      <c r="HN860" s="91"/>
      <c r="HO860" s="91"/>
      <c r="HP860" s="91"/>
      <c r="HQ860" s="91"/>
      <c r="HR860" s="91"/>
      <c r="HS860" s="91"/>
      <c r="HT860" s="91"/>
      <c r="HU860" s="91"/>
      <c r="HV860" s="91"/>
      <c r="HW860" s="91"/>
      <c r="HX860" s="91"/>
      <c r="HY860" s="91"/>
      <c r="HZ860" s="91"/>
      <c r="IA860" s="91"/>
      <c r="IB860" s="91"/>
      <c r="IC860" s="91"/>
      <c r="ID860" s="91"/>
      <c r="IE860" s="91"/>
    </row>
    <row r="861" spans="2:239" ht="15" x14ac:dyDescent="0.2">
      <c r="B861" s="91"/>
      <c r="C861" s="91"/>
      <c r="D861" s="91"/>
      <c r="E861" s="227"/>
      <c r="F861" s="91"/>
      <c r="G861" s="91"/>
      <c r="H861" s="91"/>
      <c r="I861" s="91"/>
      <c r="J861" s="91"/>
      <c r="K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row>
    <row r="862" spans="2:239" ht="15" x14ac:dyDescent="0.2">
      <c r="B862" s="91"/>
      <c r="C862" s="91"/>
      <c r="D862" s="91"/>
      <c r="E862" s="227"/>
      <c r="F862" s="91"/>
      <c r="G862" s="91"/>
      <c r="H862" s="91"/>
      <c r="I862" s="91"/>
      <c r="J862" s="91"/>
      <c r="K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c r="GU862" s="91"/>
      <c r="GV862" s="91"/>
      <c r="GW862" s="91"/>
      <c r="GX862" s="91"/>
      <c r="GY862" s="91"/>
      <c r="GZ862" s="91"/>
      <c r="HA862" s="91"/>
      <c r="HB862" s="91"/>
      <c r="HC862" s="91"/>
      <c r="HD862" s="91"/>
      <c r="HE862" s="91"/>
      <c r="HF862" s="91"/>
      <c r="HG862" s="91"/>
      <c r="HH862" s="91"/>
      <c r="HI862" s="91"/>
      <c r="HJ862" s="91"/>
      <c r="HK862" s="91"/>
      <c r="HL862" s="91"/>
      <c r="HM862" s="91"/>
      <c r="HN862" s="91"/>
      <c r="HO862" s="91"/>
      <c r="HP862" s="91"/>
      <c r="HQ862" s="91"/>
      <c r="HR862" s="91"/>
      <c r="HS862" s="91"/>
      <c r="HT862" s="91"/>
      <c r="HU862" s="91"/>
      <c r="HV862" s="91"/>
      <c r="HW862" s="91"/>
      <c r="HX862" s="91"/>
      <c r="HY862" s="91"/>
      <c r="HZ862" s="91"/>
      <c r="IA862" s="91"/>
      <c r="IB862" s="91"/>
      <c r="IC862" s="91"/>
      <c r="ID862" s="91"/>
      <c r="IE862" s="91"/>
    </row>
    <row r="863" spans="2:239" ht="15" x14ac:dyDescent="0.2">
      <c r="B863" s="91"/>
      <c r="C863" s="91"/>
      <c r="D863" s="91"/>
      <c r="E863" s="227"/>
      <c r="F863" s="91"/>
      <c r="G863" s="91"/>
      <c r="H863" s="91"/>
      <c r="I863" s="91"/>
      <c r="J863" s="91"/>
      <c r="K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c r="HV863" s="91"/>
      <c r="HW863" s="91"/>
      <c r="HX863" s="91"/>
      <c r="HY863" s="91"/>
      <c r="HZ863" s="91"/>
      <c r="IA863" s="91"/>
      <c r="IB863" s="91"/>
      <c r="IC863" s="91"/>
      <c r="ID863" s="91"/>
      <c r="IE863" s="91"/>
    </row>
    <row r="864" spans="2:239" ht="15" x14ac:dyDescent="0.2">
      <c r="B864" s="91"/>
      <c r="C864" s="91"/>
      <c r="D864" s="91"/>
      <c r="E864" s="227"/>
      <c r="F864" s="91"/>
      <c r="G864" s="91"/>
      <c r="H864" s="91"/>
      <c r="I864" s="91"/>
      <c r="J864" s="91"/>
      <c r="K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c r="GU864" s="91"/>
      <c r="GV864" s="91"/>
      <c r="GW864" s="91"/>
      <c r="GX864" s="91"/>
      <c r="GY864" s="91"/>
      <c r="GZ864" s="91"/>
      <c r="HA864" s="91"/>
      <c r="HB864" s="91"/>
      <c r="HC864" s="91"/>
      <c r="HD864" s="91"/>
      <c r="HE864" s="91"/>
      <c r="HF864" s="91"/>
      <c r="HG864" s="91"/>
      <c r="HH864" s="91"/>
      <c r="HI864" s="91"/>
      <c r="HJ864" s="91"/>
      <c r="HK864" s="91"/>
      <c r="HL864" s="91"/>
      <c r="HM864" s="91"/>
      <c r="HN864" s="91"/>
      <c r="HO864" s="91"/>
      <c r="HP864" s="91"/>
      <c r="HQ864" s="91"/>
      <c r="HR864" s="91"/>
      <c r="HS864" s="91"/>
      <c r="HT864" s="91"/>
      <c r="HU864" s="91"/>
      <c r="HV864" s="91"/>
      <c r="HW864" s="91"/>
      <c r="HX864" s="91"/>
      <c r="HY864" s="91"/>
      <c r="HZ864" s="91"/>
      <c r="IA864" s="91"/>
      <c r="IB864" s="91"/>
      <c r="IC864" s="91"/>
      <c r="ID864" s="91"/>
      <c r="IE864" s="91"/>
    </row>
    <row r="865" spans="2:239" ht="15" x14ac:dyDescent="0.2">
      <c r="B865" s="91"/>
      <c r="C865" s="91"/>
      <c r="D865" s="91"/>
      <c r="E865" s="227"/>
      <c r="F865" s="91"/>
      <c r="G865" s="91"/>
      <c r="H865" s="91"/>
      <c r="I865" s="91"/>
      <c r="J865" s="91"/>
      <c r="K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c r="HV865" s="91"/>
      <c r="HW865" s="91"/>
      <c r="HX865" s="91"/>
      <c r="HY865" s="91"/>
      <c r="HZ865" s="91"/>
      <c r="IA865" s="91"/>
      <c r="IB865" s="91"/>
      <c r="IC865" s="91"/>
      <c r="ID865" s="91"/>
      <c r="IE865" s="91"/>
    </row>
    <row r="866" spans="2:239" ht="15" x14ac:dyDescent="0.2">
      <c r="B866" s="91"/>
      <c r="C866" s="91"/>
      <c r="D866" s="91"/>
      <c r="E866" s="227"/>
      <c r="F866" s="91"/>
      <c r="G866" s="91"/>
      <c r="H866" s="91"/>
      <c r="I866" s="91"/>
      <c r="J866" s="91"/>
      <c r="K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c r="GU866" s="91"/>
      <c r="GV866" s="91"/>
      <c r="GW866" s="91"/>
      <c r="GX866" s="91"/>
      <c r="GY866" s="91"/>
      <c r="GZ866" s="91"/>
      <c r="HA866" s="91"/>
      <c r="HB866" s="91"/>
      <c r="HC866" s="91"/>
      <c r="HD866" s="91"/>
      <c r="HE866" s="91"/>
      <c r="HF866" s="91"/>
      <c r="HG866" s="91"/>
      <c r="HH866" s="91"/>
      <c r="HI866" s="91"/>
      <c r="HJ866" s="91"/>
      <c r="HK866" s="91"/>
      <c r="HL866" s="91"/>
      <c r="HM866" s="91"/>
      <c r="HN866" s="91"/>
      <c r="HO866" s="91"/>
      <c r="HP866" s="91"/>
      <c r="HQ866" s="91"/>
      <c r="HR866" s="91"/>
      <c r="HS866" s="91"/>
      <c r="HT866" s="91"/>
      <c r="HU866" s="91"/>
      <c r="HV866" s="91"/>
      <c r="HW866" s="91"/>
      <c r="HX866" s="91"/>
      <c r="HY866" s="91"/>
      <c r="HZ866" s="91"/>
      <c r="IA866" s="91"/>
      <c r="IB866" s="91"/>
      <c r="IC866" s="91"/>
      <c r="ID866" s="91"/>
      <c r="IE866" s="91"/>
    </row>
    <row r="867" spans="2:239" ht="15" x14ac:dyDescent="0.2">
      <c r="B867" s="91"/>
      <c r="C867" s="91"/>
      <c r="D867" s="91"/>
      <c r="E867" s="227"/>
      <c r="F867" s="91"/>
      <c r="G867" s="91"/>
      <c r="H867" s="91"/>
      <c r="I867" s="91"/>
      <c r="J867" s="91"/>
      <c r="K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c r="GU867" s="91"/>
      <c r="GV867" s="91"/>
      <c r="GW867" s="91"/>
      <c r="GX867" s="91"/>
      <c r="GY867" s="91"/>
      <c r="GZ867" s="91"/>
      <c r="HA867" s="91"/>
      <c r="HB867" s="91"/>
      <c r="HC867" s="91"/>
      <c r="HD867" s="91"/>
      <c r="HE867" s="91"/>
      <c r="HF867" s="91"/>
      <c r="HG867" s="91"/>
      <c r="HH867" s="91"/>
      <c r="HI867" s="91"/>
      <c r="HJ867" s="91"/>
      <c r="HK867" s="91"/>
      <c r="HL867" s="91"/>
      <c r="HM867" s="91"/>
      <c r="HN867" s="91"/>
      <c r="HO867" s="91"/>
      <c r="HP867" s="91"/>
      <c r="HQ867" s="91"/>
      <c r="HR867" s="91"/>
      <c r="HS867" s="91"/>
      <c r="HT867" s="91"/>
      <c r="HU867" s="91"/>
      <c r="HV867" s="91"/>
      <c r="HW867" s="91"/>
      <c r="HX867" s="91"/>
      <c r="HY867" s="91"/>
      <c r="HZ867" s="91"/>
      <c r="IA867" s="91"/>
      <c r="IB867" s="91"/>
      <c r="IC867" s="91"/>
      <c r="ID867" s="91"/>
      <c r="IE867" s="91"/>
    </row>
    <row r="868" spans="2:239" ht="15" x14ac:dyDescent="0.2">
      <c r="B868" s="91"/>
      <c r="C868" s="91"/>
      <c r="D868" s="91"/>
      <c r="E868" s="227"/>
      <c r="F868" s="91"/>
      <c r="G868" s="91"/>
      <c r="H868" s="91"/>
      <c r="I868" s="91"/>
      <c r="J868" s="91"/>
      <c r="K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c r="GU868" s="91"/>
      <c r="GV868" s="91"/>
      <c r="GW868" s="91"/>
      <c r="GX868" s="91"/>
      <c r="GY868" s="91"/>
      <c r="GZ868" s="91"/>
      <c r="HA868" s="91"/>
      <c r="HB868" s="91"/>
      <c r="HC868" s="91"/>
      <c r="HD868" s="91"/>
      <c r="HE868" s="91"/>
      <c r="HF868" s="91"/>
      <c r="HG868" s="91"/>
      <c r="HH868" s="91"/>
      <c r="HI868" s="91"/>
      <c r="HJ868" s="91"/>
      <c r="HK868" s="91"/>
      <c r="HL868" s="91"/>
      <c r="HM868" s="91"/>
      <c r="HN868" s="91"/>
      <c r="HO868" s="91"/>
      <c r="HP868" s="91"/>
      <c r="HQ868" s="91"/>
      <c r="HR868" s="91"/>
      <c r="HS868" s="91"/>
      <c r="HT868" s="91"/>
      <c r="HU868" s="91"/>
      <c r="HV868" s="91"/>
      <c r="HW868" s="91"/>
      <c r="HX868" s="91"/>
      <c r="HY868" s="91"/>
      <c r="HZ868" s="91"/>
      <c r="IA868" s="91"/>
      <c r="IB868" s="91"/>
      <c r="IC868" s="91"/>
      <c r="ID868" s="91"/>
      <c r="IE868" s="91"/>
    </row>
    <row r="869" spans="2:239" ht="15" x14ac:dyDescent="0.2">
      <c r="B869" s="91"/>
      <c r="C869" s="91"/>
      <c r="D869" s="91"/>
      <c r="E869" s="227"/>
      <c r="F869" s="91"/>
      <c r="G869" s="91"/>
      <c r="H869" s="91"/>
      <c r="I869" s="91"/>
      <c r="J869" s="91"/>
      <c r="K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c r="HV869" s="91"/>
      <c r="HW869" s="91"/>
      <c r="HX869" s="91"/>
      <c r="HY869" s="91"/>
      <c r="HZ869" s="91"/>
      <c r="IA869" s="91"/>
      <c r="IB869" s="91"/>
      <c r="IC869" s="91"/>
      <c r="ID869" s="91"/>
      <c r="IE869" s="91"/>
    </row>
    <row r="870" spans="2:239" ht="15" x14ac:dyDescent="0.2">
      <c r="B870" s="91"/>
      <c r="C870" s="91"/>
      <c r="D870" s="91"/>
      <c r="E870" s="227"/>
      <c r="F870" s="91"/>
      <c r="G870" s="91"/>
      <c r="H870" s="91"/>
      <c r="I870" s="91"/>
      <c r="J870" s="91"/>
      <c r="K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c r="GU870" s="91"/>
      <c r="GV870" s="91"/>
      <c r="GW870" s="91"/>
      <c r="GX870" s="91"/>
      <c r="GY870" s="91"/>
      <c r="GZ870" s="91"/>
      <c r="HA870" s="91"/>
      <c r="HB870" s="91"/>
      <c r="HC870" s="91"/>
      <c r="HD870" s="91"/>
      <c r="HE870" s="91"/>
      <c r="HF870" s="91"/>
      <c r="HG870" s="91"/>
      <c r="HH870" s="91"/>
      <c r="HI870" s="91"/>
      <c r="HJ870" s="91"/>
      <c r="HK870" s="91"/>
      <c r="HL870" s="91"/>
      <c r="HM870" s="91"/>
      <c r="HN870" s="91"/>
      <c r="HO870" s="91"/>
      <c r="HP870" s="91"/>
      <c r="HQ870" s="91"/>
      <c r="HR870" s="91"/>
      <c r="HS870" s="91"/>
      <c r="HT870" s="91"/>
      <c r="HU870" s="91"/>
      <c r="HV870" s="91"/>
      <c r="HW870" s="91"/>
      <c r="HX870" s="91"/>
      <c r="HY870" s="91"/>
      <c r="HZ870" s="91"/>
      <c r="IA870" s="91"/>
      <c r="IB870" s="91"/>
      <c r="IC870" s="91"/>
      <c r="ID870" s="91"/>
      <c r="IE870" s="91"/>
    </row>
    <row r="871" spans="2:239" ht="15" x14ac:dyDescent="0.2">
      <c r="B871" s="91"/>
      <c r="C871" s="91"/>
      <c r="D871" s="91"/>
      <c r="E871" s="227"/>
      <c r="F871" s="91"/>
      <c r="G871" s="91"/>
      <c r="H871" s="91"/>
      <c r="I871" s="91"/>
      <c r="J871" s="91"/>
      <c r="K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c r="GU871" s="91"/>
      <c r="GV871" s="91"/>
      <c r="GW871" s="91"/>
      <c r="GX871" s="91"/>
      <c r="GY871" s="91"/>
      <c r="GZ871" s="91"/>
      <c r="HA871" s="91"/>
      <c r="HB871" s="91"/>
      <c r="HC871" s="91"/>
      <c r="HD871" s="91"/>
      <c r="HE871" s="91"/>
      <c r="HF871" s="91"/>
      <c r="HG871" s="91"/>
      <c r="HH871" s="91"/>
      <c r="HI871" s="91"/>
      <c r="HJ871" s="91"/>
      <c r="HK871" s="91"/>
      <c r="HL871" s="91"/>
      <c r="HM871" s="91"/>
      <c r="HN871" s="91"/>
      <c r="HO871" s="91"/>
      <c r="HP871" s="91"/>
      <c r="HQ871" s="91"/>
      <c r="HR871" s="91"/>
      <c r="HS871" s="91"/>
      <c r="HT871" s="91"/>
      <c r="HU871" s="91"/>
      <c r="HV871" s="91"/>
      <c r="HW871" s="91"/>
      <c r="HX871" s="91"/>
      <c r="HY871" s="91"/>
      <c r="HZ871" s="91"/>
      <c r="IA871" s="91"/>
      <c r="IB871" s="91"/>
      <c r="IC871" s="91"/>
      <c r="ID871" s="91"/>
      <c r="IE871" s="91"/>
    </row>
    <row r="872" spans="2:239" ht="15" x14ac:dyDescent="0.2">
      <c r="B872" s="91"/>
      <c r="C872" s="91"/>
      <c r="D872" s="91"/>
      <c r="E872" s="227"/>
      <c r="F872" s="91"/>
      <c r="G872" s="91"/>
      <c r="H872" s="91"/>
      <c r="I872" s="91"/>
      <c r="J872" s="91"/>
      <c r="K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c r="GU872" s="91"/>
      <c r="GV872" s="91"/>
      <c r="GW872" s="91"/>
      <c r="GX872" s="91"/>
      <c r="GY872" s="91"/>
      <c r="GZ872" s="91"/>
      <c r="HA872" s="91"/>
      <c r="HB872" s="91"/>
      <c r="HC872" s="91"/>
      <c r="HD872" s="91"/>
      <c r="HE872" s="91"/>
      <c r="HF872" s="91"/>
      <c r="HG872" s="91"/>
      <c r="HH872" s="91"/>
      <c r="HI872" s="91"/>
      <c r="HJ872" s="91"/>
      <c r="HK872" s="91"/>
      <c r="HL872" s="91"/>
      <c r="HM872" s="91"/>
      <c r="HN872" s="91"/>
      <c r="HO872" s="91"/>
      <c r="HP872" s="91"/>
      <c r="HQ872" s="91"/>
      <c r="HR872" s="91"/>
      <c r="HS872" s="91"/>
      <c r="HT872" s="91"/>
      <c r="HU872" s="91"/>
      <c r="HV872" s="91"/>
      <c r="HW872" s="91"/>
      <c r="HX872" s="91"/>
      <c r="HY872" s="91"/>
      <c r="HZ872" s="91"/>
      <c r="IA872" s="91"/>
      <c r="IB872" s="91"/>
      <c r="IC872" s="91"/>
      <c r="ID872" s="91"/>
      <c r="IE872" s="91"/>
    </row>
    <row r="873" spans="2:239" ht="15" x14ac:dyDescent="0.2">
      <c r="B873" s="91"/>
      <c r="C873" s="91"/>
      <c r="D873" s="91"/>
      <c r="E873" s="227"/>
      <c r="F873" s="91"/>
      <c r="G873" s="91"/>
      <c r="H873" s="91"/>
      <c r="I873" s="91"/>
      <c r="J873" s="91"/>
      <c r="K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c r="HV873" s="91"/>
      <c r="HW873" s="91"/>
      <c r="HX873" s="91"/>
      <c r="HY873" s="91"/>
      <c r="HZ873" s="91"/>
      <c r="IA873" s="91"/>
      <c r="IB873" s="91"/>
      <c r="IC873" s="91"/>
      <c r="ID873" s="91"/>
      <c r="IE873" s="91"/>
    </row>
    <row r="874" spans="2:239" ht="15" x14ac:dyDescent="0.2">
      <c r="B874" s="91"/>
      <c r="C874" s="91"/>
      <c r="D874" s="91"/>
      <c r="E874" s="227"/>
      <c r="F874" s="91"/>
      <c r="G874" s="91"/>
      <c r="H874" s="91"/>
      <c r="I874" s="91"/>
      <c r="J874" s="91"/>
      <c r="K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c r="HV874" s="91"/>
      <c r="HW874" s="91"/>
      <c r="HX874" s="91"/>
      <c r="HY874" s="91"/>
      <c r="HZ874" s="91"/>
      <c r="IA874" s="91"/>
      <c r="IB874" s="91"/>
      <c r="IC874" s="91"/>
      <c r="ID874" s="91"/>
      <c r="IE874" s="91"/>
    </row>
    <row r="875" spans="2:239" ht="15" x14ac:dyDescent="0.2">
      <c r="B875" s="91"/>
      <c r="C875" s="91"/>
      <c r="D875" s="91"/>
      <c r="E875" s="227"/>
      <c r="F875" s="91"/>
      <c r="G875" s="91"/>
      <c r="H875" s="91"/>
      <c r="I875" s="91"/>
      <c r="J875" s="91"/>
      <c r="K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c r="GU875" s="91"/>
      <c r="GV875" s="91"/>
      <c r="GW875" s="91"/>
      <c r="GX875" s="91"/>
      <c r="GY875" s="91"/>
      <c r="GZ875" s="91"/>
      <c r="HA875" s="91"/>
      <c r="HB875" s="91"/>
      <c r="HC875" s="91"/>
      <c r="HD875" s="91"/>
      <c r="HE875" s="91"/>
      <c r="HF875" s="91"/>
      <c r="HG875" s="91"/>
      <c r="HH875" s="91"/>
      <c r="HI875" s="91"/>
      <c r="HJ875" s="91"/>
      <c r="HK875" s="91"/>
      <c r="HL875" s="91"/>
      <c r="HM875" s="91"/>
      <c r="HN875" s="91"/>
      <c r="HO875" s="91"/>
      <c r="HP875" s="91"/>
      <c r="HQ875" s="91"/>
      <c r="HR875" s="91"/>
      <c r="HS875" s="91"/>
      <c r="HT875" s="91"/>
      <c r="HU875" s="91"/>
      <c r="HV875" s="91"/>
      <c r="HW875" s="91"/>
      <c r="HX875" s="91"/>
      <c r="HY875" s="91"/>
      <c r="HZ875" s="91"/>
      <c r="IA875" s="91"/>
      <c r="IB875" s="91"/>
      <c r="IC875" s="91"/>
      <c r="ID875" s="91"/>
      <c r="IE875" s="91"/>
    </row>
    <row r="876" spans="2:239" ht="15" x14ac:dyDescent="0.2">
      <c r="B876" s="91"/>
      <c r="C876" s="91"/>
      <c r="D876" s="91"/>
      <c r="E876" s="227"/>
      <c r="F876" s="91"/>
      <c r="G876" s="91"/>
      <c r="H876" s="91"/>
      <c r="I876" s="91"/>
      <c r="J876" s="91"/>
      <c r="K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c r="GU876" s="91"/>
      <c r="GV876" s="91"/>
      <c r="GW876" s="91"/>
      <c r="GX876" s="91"/>
      <c r="GY876" s="91"/>
      <c r="GZ876" s="91"/>
      <c r="HA876" s="91"/>
      <c r="HB876" s="91"/>
      <c r="HC876" s="91"/>
      <c r="HD876" s="91"/>
      <c r="HE876" s="91"/>
      <c r="HF876" s="91"/>
      <c r="HG876" s="91"/>
      <c r="HH876" s="91"/>
      <c r="HI876" s="91"/>
      <c r="HJ876" s="91"/>
      <c r="HK876" s="91"/>
      <c r="HL876" s="91"/>
      <c r="HM876" s="91"/>
      <c r="HN876" s="91"/>
      <c r="HO876" s="91"/>
      <c r="HP876" s="91"/>
      <c r="HQ876" s="91"/>
      <c r="HR876" s="91"/>
      <c r="HS876" s="91"/>
      <c r="HT876" s="91"/>
      <c r="HU876" s="91"/>
      <c r="HV876" s="91"/>
      <c r="HW876" s="91"/>
      <c r="HX876" s="91"/>
      <c r="HY876" s="91"/>
      <c r="HZ876" s="91"/>
      <c r="IA876" s="91"/>
      <c r="IB876" s="91"/>
      <c r="IC876" s="91"/>
      <c r="ID876" s="91"/>
      <c r="IE876" s="91"/>
    </row>
    <row r="877" spans="2:239" ht="15" x14ac:dyDescent="0.2">
      <c r="B877" s="91"/>
      <c r="C877" s="91"/>
      <c r="D877" s="91"/>
      <c r="E877" s="227"/>
      <c r="F877" s="91"/>
      <c r="G877" s="91"/>
      <c r="H877" s="91"/>
      <c r="I877" s="91"/>
      <c r="J877" s="91"/>
      <c r="K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c r="HV877" s="91"/>
      <c r="HW877" s="91"/>
      <c r="HX877" s="91"/>
      <c r="HY877" s="91"/>
      <c r="HZ877" s="91"/>
      <c r="IA877" s="91"/>
      <c r="IB877" s="91"/>
      <c r="IC877" s="91"/>
      <c r="ID877" s="91"/>
      <c r="IE877" s="91"/>
    </row>
    <row r="878" spans="2:239" ht="15" x14ac:dyDescent="0.2">
      <c r="B878" s="91"/>
      <c r="C878" s="91"/>
      <c r="D878" s="91"/>
      <c r="E878" s="227"/>
      <c r="F878" s="91"/>
      <c r="G878" s="91"/>
      <c r="H878" s="91"/>
      <c r="I878" s="91"/>
      <c r="J878" s="91"/>
      <c r="K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c r="GU878" s="91"/>
      <c r="GV878" s="91"/>
      <c r="GW878" s="91"/>
      <c r="GX878" s="91"/>
      <c r="GY878" s="91"/>
      <c r="GZ878" s="91"/>
      <c r="HA878" s="91"/>
      <c r="HB878" s="91"/>
      <c r="HC878" s="91"/>
      <c r="HD878" s="91"/>
      <c r="HE878" s="91"/>
      <c r="HF878" s="91"/>
      <c r="HG878" s="91"/>
      <c r="HH878" s="91"/>
      <c r="HI878" s="91"/>
      <c r="HJ878" s="91"/>
      <c r="HK878" s="91"/>
      <c r="HL878" s="91"/>
      <c r="HM878" s="91"/>
      <c r="HN878" s="91"/>
      <c r="HO878" s="91"/>
      <c r="HP878" s="91"/>
      <c r="HQ878" s="91"/>
      <c r="HR878" s="91"/>
      <c r="HS878" s="91"/>
      <c r="HT878" s="91"/>
      <c r="HU878" s="91"/>
      <c r="HV878" s="91"/>
      <c r="HW878" s="91"/>
      <c r="HX878" s="91"/>
      <c r="HY878" s="91"/>
      <c r="HZ878" s="91"/>
      <c r="IA878" s="91"/>
      <c r="IB878" s="91"/>
      <c r="IC878" s="91"/>
      <c r="ID878" s="91"/>
      <c r="IE878" s="91"/>
    </row>
    <row r="879" spans="2:239" ht="15" x14ac:dyDescent="0.2">
      <c r="B879" s="91"/>
      <c r="C879" s="91"/>
      <c r="D879" s="91"/>
      <c r="E879" s="227"/>
      <c r="F879" s="91"/>
      <c r="G879" s="91"/>
      <c r="H879" s="91"/>
      <c r="I879" s="91"/>
      <c r="J879" s="91"/>
      <c r="K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c r="HV879" s="91"/>
      <c r="HW879" s="91"/>
      <c r="HX879" s="91"/>
      <c r="HY879" s="91"/>
      <c r="HZ879" s="91"/>
      <c r="IA879" s="91"/>
      <c r="IB879" s="91"/>
      <c r="IC879" s="91"/>
      <c r="ID879" s="91"/>
      <c r="IE879" s="91"/>
    </row>
    <row r="880" spans="2:239" ht="15" x14ac:dyDescent="0.2">
      <c r="B880" s="91"/>
      <c r="C880" s="91"/>
      <c r="D880" s="91"/>
      <c r="E880" s="227"/>
      <c r="F880" s="91"/>
      <c r="G880" s="91"/>
      <c r="H880" s="91"/>
      <c r="I880" s="91"/>
      <c r="J880" s="91"/>
      <c r="K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c r="HV880" s="91"/>
      <c r="HW880" s="91"/>
      <c r="HX880" s="91"/>
      <c r="HY880" s="91"/>
      <c r="HZ880" s="91"/>
      <c r="IA880" s="91"/>
      <c r="IB880" s="91"/>
      <c r="IC880" s="91"/>
      <c r="ID880" s="91"/>
      <c r="IE880" s="91"/>
    </row>
    <row r="881" spans="2:239" ht="15" x14ac:dyDescent="0.2">
      <c r="B881" s="91"/>
      <c r="C881" s="91"/>
      <c r="D881" s="91"/>
      <c r="E881" s="227"/>
      <c r="F881" s="91"/>
      <c r="G881" s="91"/>
      <c r="H881" s="91"/>
      <c r="I881" s="91"/>
      <c r="J881" s="91"/>
      <c r="K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c r="GU881" s="91"/>
      <c r="GV881" s="91"/>
      <c r="GW881" s="91"/>
      <c r="GX881" s="91"/>
      <c r="GY881" s="91"/>
      <c r="GZ881" s="91"/>
      <c r="HA881" s="91"/>
      <c r="HB881" s="91"/>
      <c r="HC881" s="91"/>
      <c r="HD881" s="91"/>
      <c r="HE881" s="91"/>
      <c r="HF881" s="91"/>
      <c r="HG881" s="91"/>
      <c r="HH881" s="91"/>
      <c r="HI881" s="91"/>
      <c r="HJ881" s="91"/>
      <c r="HK881" s="91"/>
      <c r="HL881" s="91"/>
      <c r="HM881" s="91"/>
      <c r="HN881" s="91"/>
      <c r="HO881" s="91"/>
      <c r="HP881" s="91"/>
      <c r="HQ881" s="91"/>
      <c r="HR881" s="91"/>
      <c r="HS881" s="91"/>
      <c r="HT881" s="91"/>
      <c r="HU881" s="91"/>
      <c r="HV881" s="91"/>
      <c r="HW881" s="91"/>
      <c r="HX881" s="91"/>
      <c r="HY881" s="91"/>
      <c r="HZ881" s="91"/>
      <c r="IA881" s="91"/>
      <c r="IB881" s="91"/>
      <c r="IC881" s="91"/>
      <c r="ID881" s="91"/>
      <c r="IE881" s="91"/>
    </row>
    <row r="882" spans="2:239" ht="15" x14ac:dyDescent="0.2">
      <c r="B882" s="91"/>
      <c r="C882" s="91"/>
      <c r="D882" s="91"/>
      <c r="E882" s="227"/>
      <c r="F882" s="91"/>
      <c r="G882" s="91"/>
      <c r="H882" s="91"/>
      <c r="I882" s="91"/>
      <c r="J882" s="91"/>
      <c r="K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c r="GU882" s="91"/>
      <c r="GV882" s="91"/>
      <c r="GW882" s="91"/>
      <c r="GX882" s="91"/>
      <c r="GY882" s="91"/>
      <c r="GZ882" s="91"/>
      <c r="HA882" s="91"/>
      <c r="HB882" s="91"/>
      <c r="HC882" s="91"/>
      <c r="HD882" s="91"/>
      <c r="HE882" s="91"/>
      <c r="HF882" s="91"/>
      <c r="HG882" s="91"/>
      <c r="HH882" s="91"/>
      <c r="HI882" s="91"/>
      <c r="HJ882" s="91"/>
      <c r="HK882" s="91"/>
      <c r="HL882" s="91"/>
      <c r="HM882" s="91"/>
      <c r="HN882" s="91"/>
      <c r="HO882" s="91"/>
      <c r="HP882" s="91"/>
      <c r="HQ882" s="91"/>
      <c r="HR882" s="91"/>
      <c r="HS882" s="91"/>
      <c r="HT882" s="91"/>
      <c r="HU882" s="91"/>
      <c r="HV882" s="91"/>
      <c r="HW882" s="91"/>
      <c r="HX882" s="91"/>
      <c r="HY882" s="91"/>
      <c r="HZ882" s="91"/>
      <c r="IA882" s="91"/>
      <c r="IB882" s="91"/>
      <c r="IC882" s="91"/>
      <c r="ID882" s="91"/>
      <c r="IE882" s="91"/>
    </row>
    <row r="883" spans="2:239" ht="15" x14ac:dyDescent="0.2">
      <c r="B883" s="91"/>
      <c r="C883" s="91"/>
      <c r="D883" s="91"/>
      <c r="E883" s="227"/>
      <c r="F883" s="91"/>
      <c r="G883" s="91"/>
      <c r="H883" s="91"/>
      <c r="I883" s="91"/>
      <c r="J883" s="91"/>
      <c r="K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c r="HV883" s="91"/>
      <c r="HW883" s="91"/>
      <c r="HX883" s="91"/>
      <c r="HY883" s="91"/>
      <c r="HZ883" s="91"/>
      <c r="IA883" s="91"/>
      <c r="IB883" s="91"/>
      <c r="IC883" s="91"/>
      <c r="ID883" s="91"/>
      <c r="IE883" s="91"/>
    </row>
    <row r="884" spans="2:239" ht="15" x14ac:dyDescent="0.2">
      <c r="B884" s="91"/>
      <c r="C884" s="91"/>
      <c r="D884" s="91"/>
      <c r="E884" s="227"/>
      <c r="F884" s="91"/>
      <c r="G884" s="91"/>
      <c r="H884" s="91"/>
      <c r="I884" s="91"/>
      <c r="J884" s="91"/>
      <c r="K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c r="GU884" s="91"/>
      <c r="GV884" s="91"/>
      <c r="GW884" s="91"/>
      <c r="GX884" s="91"/>
      <c r="GY884" s="91"/>
      <c r="GZ884" s="91"/>
      <c r="HA884" s="91"/>
      <c r="HB884" s="91"/>
      <c r="HC884" s="91"/>
      <c r="HD884" s="91"/>
      <c r="HE884" s="91"/>
      <c r="HF884" s="91"/>
      <c r="HG884" s="91"/>
      <c r="HH884" s="91"/>
      <c r="HI884" s="91"/>
      <c r="HJ884" s="91"/>
      <c r="HK884" s="91"/>
      <c r="HL884" s="91"/>
      <c r="HM884" s="91"/>
      <c r="HN884" s="91"/>
      <c r="HO884" s="91"/>
      <c r="HP884" s="91"/>
      <c r="HQ884" s="91"/>
      <c r="HR884" s="91"/>
      <c r="HS884" s="91"/>
      <c r="HT884" s="91"/>
      <c r="HU884" s="91"/>
      <c r="HV884" s="91"/>
      <c r="HW884" s="91"/>
      <c r="HX884" s="91"/>
      <c r="HY884" s="91"/>
      <c r="HZ884" s="91"/>
      <c r="IA884" s="91"/>
      <c r="IB884" s="91"/>
      <c r="IC884" s="91"/>
      <c r="ID884" s="91"/>
      <c r="IE884" s="91"/>
    </row>
    <row r="885" spans="2:239" ht="15" x14ac:dyDescent="0.2">
      <c r="B885" s="91"/>
      <c r="C885" s="91"/>
      <c r="D885" s="91"/>
      <c r="E885" s="227"/>
      <c r="F885" s="91"/>
      <c r="G885" s="91"/>
      <c r="H885" s="91"/>
      <c r="I885" s="91"/>
      <c r="J885" s="91"/>
      <c r="K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c r="HV885" s="91"/>
      <c r="HW885" s="91"/>
      <c r="HX885" s="91"/>
      <c r="HY885" s="91"/>
      <c r="HZ885" s="91"/>
      <c r="IA885" s="91"/>
      <c r="IB885" s="91"/>
      <c r="IC885" s="91"/>
      <c r="ID885" s="91"/>
      <c r="IE885" s="91"/>
    </row>
    <row r="886" spans="2:239" ht="15" x14ac:dyDescent="0.2">
      <c r="B886" s="91"/>
      <c r="C886" s="91"/>
      <c r="D886" s="91"/>
      <c r="E886" s="227"/>
      <c r="F886" s="91"/>
      <c r="G886" s="91"/>
      <c r="H886" s="91"/>
      <c r="I886" s="91"/>
      <c r="J886" s="91"/>
      <c r="K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c r="GU886" s="91"/>
      <c r="GV886" s="91"/>
      <c r="GW886" s="91"/>
      <c r="GX886" s="91"/>
      <c r="GY886" s="91"/>
      <c r="GZ886" s="91"/>
      <c r="HA886" s="91"/>
      <c r="HB886" s="91"/>
      <c r="HC886" s="91"/>
      <c r="HD886" s="91"/>
      <c r="HE886" s="91"/>
      <c r="HF886" s="91"/>
      <c r="HG886" s="91"/>
      <c r="HH886" s="91"/>
      <c r="HI886" s="91"/>
      <c r="HJ886" s="91"/>
      <c r="HK886" s="91"/>
      <c r="HL886" s="91"/>
      <c r="HM886" s="91"/>
      <c r="HN886" s="91"/>
      <c r="HO886" s="91"/>
      <c r="HP886" s="91"/>
      <c r="HQ886" s="91"/>
      <c r="HR886" s="91"/>
      <c r="HS886" s="91"/>
      <c r="HT886" s="91"/>
      <c r="HU886" s="91"/>
      <c r="HV886" s="91"/>
      <c r="HW886" s="91"/>
      <c r="HX886" s="91"/>
      <c r="HY886" s="91"/>
      <c r="HZ886" s="91"/>
      <c r="IA886" s="91"/>
      <c r="IB886" s="91"/>
      <c r="IC886" s="91"/>
      <c r="ID886" s="91"/>
      <c r="IE886" s="91"/>
    </row>
    <row r="887" spans="2:239" ht="15" x14ac:dyDescent="0.2">
      <c r="B887" s="91"/>
      <c r="C887" s="91"/>
      <c r="D887" s="91"/>
      <c r="E887" s="227"/>
      <c r="F887" s="91"/>
      <c r="G887" s="91"/>
      <c r="H887" s="91"/>
      <c r="I887" s="91"/>
      <c r="J887" s="91"/>
      <c r="K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c r="HV887" s="91"/>
      <c r="HW887" s="91"/>
      <c r="HX887" s="91"/>
      <c r="HY887" s="91"/>
      <c r="HZ887" s="91"/>
      <c r="IA887" s="91"/>
      <c r="IB887" s="91"/>
      <c r="IC887" s="91"/>
      <c r="ID887" s="91"/>
      <c r="IE887" s="91"/>
    </row>
    <row r="888" spans="2:239" ht="15" x14ac:dyDescent="0.2">
      <c r="B888" s="91"/>
      <c r="C888" s="91"/>
      <c r="D888" s="91"/>
      <c r="E888" s="227"/>
      <c r="F888" s="91"/>
      <c r="G888" s="91"/>
      <c r="H888" s="91"/>
      <c r="I888" s="91"/>
      <c r="J888" s="91"/>
      <c r="K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c r="HV888" s="91"/>
      <c r="HW888" s="91"/>
      <c r="HX888" s="91"/>
      <c r="HY888" s="91"/>
      <c r="HZ888" s="91"/>
      <c r="IA888" s="91"/>
      <c r="IB888" s="91"/>
      <c r="IC888" s="91"/>
      <c r="ID888" s="91"/>
      <c r="IE888" s="91"/>
    </row>
    <row r="889" spans="2:239" ht="15" x14ac:dyDescent="0.2">
      <c r="B889" s="91"/>
      <c r="C889" s="91"/>
      <c r="D889" s="91"/>
      <c r="E889" s="227"/>
      <c r="F889" s="91"/>
      <c r="G889" s="91"/>
      <c r="H889" s="91"/>
      <c r="I889" s="91"/>
      <c r="J889" s="91"/>
      <c r="K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c r="GU889" s="91"/>
      <c r="GV889" s="91"/>
      <c r="GW889" s="91"/>
      <c r="GX889" s="91"/>
      <c r="GY889" s="91"/>
      <c r="GZ889" s="91"/>
      <c r="HA889" s="91"/>
      <c r="HB889" s="91"/>
      <c r="HC889" s="91"/>
      <c r="HD889" s="91"/>
      <c r="HE889" s="91"/>
      <c r="HF889" s="91"/>
      <c r="HG889" s="91"/>
      <c r="HH889" s="91"/>
      <c r="HI889" s="91"/>
      <c r="HJ889" s="91"/>
      <c r="HK889" s="91"/>
      <c r="HL889" s="91"/>
      <c r="HM889" s="91"/>
      <c r="HN889" s="91"/>
      <c r="HO889" s="91"/>
      <c r="HP889" s="91"/>
      <c r="HQ889" s="91"/>
      <c r="HR889" s="91"/>
      <c r="HS889" s="91"/>
      <c r="HT889" s="91"/>
      <c r="HU889" s="91"/>
      <c r="HV889" s="91"/>
      <c r="HW889" s="91"/>
      <c r="HX889" s="91"/>
      <c r="HY889" s="91"/>
      <c r="HZ889" s="91"/>
      <c r="IA889" s="91"/>
      <c r="IB889" s="91"/>
      <c r="IC889" s="91"/>
      <c r="ID889" s="91"/>
      <c r="IE889" s="91"/>
    </row>
    <row r="890" spans="2:239" ht="15" x14ac:dyDescent="0.2">
      <c r="B890" s="91"/>
      <c r="C890" s="91"/>
      <c r="D890" s="91"/>
      <c r="E890" s="227"/>
      <c r="F890" s="91"/>
      <c r="G890" s="91"/>
      <c r="H890" s="91"/>
      <c r="I890" s="91"/>
      <c r="J890" s="91"/>
      <c r="K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c r="GU890" s="91"/>
      <c r="GV890" s="91"/>
      <c r="GW890" s="91"/>
      <c r="GX890" s="91"/>
      <c r="GY890" s="91"/>
      <c r="GZ890" s="91"/>
      <c r="HA890" s="91"/>
      <c r="HB890" s="91"/>
      <c r="HC890" s="91"/>
      <c r="HD890" s="91"/>
      <c r="HE890" s="91"/>
      <c r="HF890" s="91"/>
      <c r="HG890" s="91"/>
      <c r="HH890" s="91"/>
      <c r="HI890" s="91"/>
      <c r="HJ890" s="91"/>
      <c r="HK890" s="91"/>
      <c r="HL890" s="91"/>
      <c r="HM890" s="91"/>
      <c r="HN890" s="91"/>
      <c r="HO890" s="91"/>
      <c r="HP890" s="91"/>
      <c r="HQ890" s="91"/>
      <c r="HR890" s="91"/>
      <c r="HS890" s="91"/>
      <c r="HT890" s="91"/>
      <c r="HU890" s="91"/>
      <c r="HV890" s="91"/>
      <c r="HW890" s="91"/>
      <c r="HX890" s="91"/>
      <c r="HY890" s="91"/>
      <c r="HZ890" s="91"/>
      <c r="IA890" s="91"/>
      <c r="IB890" s="91"/>
      <c r="IC890" s="91"/>
      <c r="ID890" s="91"/>
      <c r="IE890" s="91"/>
    </row>
    <row r="891" spans="2:239" ht="15" x14ac:dyDescent="0.2">
      <c r="B891" s="91"/>
      <c r="C891" s="91"/>
      <c r="D891" s="91"/>
      <c r="E891" s="227"/>
      <c r="F891" s="91"/>
      <c r="G891" s="91"/>
      <c r="H891" s="91"/>
      <c r="I891" s="91"/>
      <c r="J891" s="91"/>
      <c r="K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c r="GU891" s="91"/>
      <c r="GV891" s="91"/>
      <c r="GW891" s="91"/>
      <c r="GX891" s="91"/>
      <c r="GY891" s="91"/>
      <c r="GZ891" s="91"/>
      <c r="HA891" s="91"/>
      <c r="HB891" s="91"/>
      <c r="HC891" s="91"/>
      <c r="HD891" s="91"/>
      <c r="HE891" s="91"/>
      <c r="HF891" s="91"/>
      <c r="HG891" s="91"/>
      <c r="HH891" s="91"/>
      <c r="HI891" s="91"/>
      <c r="HJ891" s="91"/>
      <c r="HK891" s="91"/>
      <c r="HL891" s="91"/>
      <c r="HM891" s="91"/>
      <c r="HN891" s="91"/>
      <c r="HO891" s="91"/>
      <c r="HP891" s="91"/>
      <c r="HQ891" s="91"/>
      <c r="HR891" s="91"/>
      <c r="HS891" s="91"/>
      <c r="HT891" s="91"/>
      <c r="HU891" s="91"/>
      <c r="HV891" s="91"/>
      <c r="HW891" s="91"/>
      <c r="HX891" s="91"/>
      <c r="HY891" s="91"/>
      <c r="HZ891" s="91"/>
      <c r="IA891" s="91"/>
      <c r="IB891" s="91"/>
      <c r="IC891" s="91"/>
      <c r="ID891" s="91"/>
      <c r="IE891" s="91"/>
    </row>
    <row r="892" spans="2:239" ht="15" x14ac:dyDescent="0.2">
      <c r="B892" s="91"/>
      <c r="C892" s="91"/>
      <c r="D892" s="91"/>
      <c r="E892" s="227"/>
      <c r="F892" s="91"/>
      <c r="G892" s="91"/>
      <c r="H892" s="91"/>
      <c r="I892" s="91"/>
      <c r="J892" s="91"/>
      <c r="K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c r="GU892" s="91"/>
      <c r="GV892" s="91"/>
      <c r="GW892" s="91"/>
      <c r="GX892" s="91"/>
      <c r="GY892" s="91"/>
      <c r="GZ892" s="91"/>
      <c r="HA892" s="91"/>
      <c r="HB892" s="91"/>
      <c r="HC892" s="91"/>
      <c r="HD892" s="91"/>
      <c r="HE892" s="91"/>
      <c r="HF892" s="91"/>
      <c r="HG892" s="91"/>
      <c r="HH892" s="91"/>
      <c r="HI892" s="91"/>
      <c r="HJ892" s="91"/>
      <c r="HK892" s="91"/>
      <c r="HL892" s="91"/>
      <c r="HM892" s="91"/>
      <c r="HN892" s="91"/>
      <c r="HO892" s="91"/>
      <c r="HP892" s="91"/>
      <c r="HQ892" s="91"/>
      <c r="HR892" s="91"/>
      <c r="HS892" s="91"/>
      <c r="HT892" s="91"/>
      <c r="HU892" s="91"/>
      <c r="HV892" s="91"/>
      <c r="HW892" s="91"/>
      <c r="HX892" s="91"/>
      <c r="HY892" s="91"/>
      <c r="HZ892" s="91"/>
      <c r="IA892" s="91"/>
      <c r="IB892" s="91"/>
      <c r="IC892" s="91"/>
      <c r="ID892" s="91"/>
      <c r="IE892" s="91"/>
    </row>
    <row r="893" spans="2:239" ht="15" x14ac:dyDescent="0.2">
      <c r="B893" s="91"/>
      <c r="C893" s="91"/>
      <c r="D893" s="91"/>
      <c r="E893" s="227"/>
      <c r="F893" s="91"/>
      <c r="G893" s="91"/>
      <c r="H893" s="91"/>
      <c r="I893" s="91"/>
      <c r="J893" s="91"/>
      <c r="K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c r="GU893" s="91"/>
      <c r="GV893" s="91"/>
      <c r="GW893" s="91"/>
      <c r="GX893" s="91"/>
      <c r="GY893" s="91"/>
      <c r="GZ893" s="91"/>
      <c r="HA893" s="91"/>
      <c r="HB893" s="91"/>
      <c r="HC893" s="91"/>
      <c r="HD893" s="91"/>
      <c r="HE893" s="91"/>
      <c r="HF893" s="91"/>
      <c r="HG893" s="91"/>
      <c r="HH893" s="91"/>
      <c r="HI893" s="91"/>
      <c r="HJ893" s="91"/>
      <c r="HK893" s="91"/>
      <c r="HL893" s="91"/>
      <c r="HM893" s="91"/>
      <c r="HN893" s="91"/>
      <c r="HO893" s="91"/>
      <c r="HP893" s="91"/>
      <c r="HQ893" s="91"/>
      <c r="HR893" s="91"/>
      <c r="HS893" s="91"/>
      <c r="HT893" s="91"/>
      <c r="HU893" s="91"/>
      <c r="HV893" s="91"/>
      <c r="HW893" s="91"/>
      <c r="HX893" s="91"/>
      <c r="HY893" s="91"/>
      <c r="HZ893" s="91"/>
      <c r="IA893" s="91"/>
      <c r="IB893" s="91"/>
      <c r="IC893" s="91"/>
      <c r="ID893" s="91"/>
      <c r="IE893" s="91"/>
    </row>
    <row r="894" spans="2:239" ht="15" x14ac:dyDescent="0.2">
      <c r="B894" s="91"/>
      <c r="C894" s="91"/>
      <c r="D894" s="91"/>
      <c r="E894" s="227"/>
      <c r="F894" s="91"/>
      <c r="G894" s="91"/>
      <c r="H894" s="91"/>
      <c r="I894" s="91"/>
      <c r="J894" s="91"/>
      <c r="K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c r="HV894" s="91"/>
      <c r="HW894" s="91"/>
      <c r="HX894" s="91"/>
      <c r="HY894" s="91"/>
      <c r="HZ894" s="91"/>
      <c r="IA894" s="91"/>
      <c r="IB894" s="91"/>
      <c r="IC894" s="91"/>
      <c r="ID894" s="91"/>
      <c r="IE894" s="91"/>
    </row>
    <row r="895" spans="2:239" ht="15" x14ac:dyDescent="0.2">
      <c r="B895" s="91"/>
      <c r="C895" s="91"/>
      <c r="D895" s="91"/>
      <c r="E895" s="227"/>
      <c r="F895" s="91"/>
      <c r="G895" s="91"/>
      <c r="H895" s="91"/>
      <c r="I895" s="91"/>
      <c r="J895" s="91"/>
      <c r="K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c r="GU895" s="91"/>
      <c r="GV895" s="91"/>
      <c r="GW895" s="91"/>
      <c r="GX895" s="91"/>
      <c r="GY895" s="91"/>
      <c r="GZ895" s="91"/>
      <c r="HA895" s="91"/>
      <c r="HB895" s="91"/>
      <c r="HC895" s="91"/>
      <c r="HD895" s="91"/>
      <c r="HE895" s="91"/>
      <c r="HF895" s="91"/>
      <c r="HG895" s="91"/>
      <c r="HH895" s="91"/>
      <c r="HI895" s="91"/>
      <c r="HJ895" s="91"/>
      <c r="HK895" s="91"/>
      <c r="HL895" s="91"/>
      <c r="HM895" s="91"/>
      <c r="HN895" s="91"/>
      <c r="HO895" s="91"/>
      <c r="HP895" s="91"/>
      <c r="HQ895" s="91"/>
      <c r="HR895" s="91"/>
      <c r="HS895" s="91"/>
      <c r="HT895" s="91"/>
      <c r="HU895" s="91"/>
      <c r="HV895" s="91"/>
      <c r="HW895" s="91"/>
      <c r="HX895" s="91"/>
      <c r="HY895" s="91"/>
      <c r="HZ895" s="91"/>
      <c r="IA895" s="91"/>
      <c r="IB895" s="91"/>
      <c r="IC895" s="91"/>
      <c r="ID895" s="91"/>
      <c r="IE895" s="91"/>
    </row>
    <row r="896" spans="2:239" ht="15" x14ac:dyDescent="0.2">
      <c r="B896" s="91"/>
      <c r="C896" s="91"/>
      <c r="D896" s="91"/>
      <c r="E896" s="227"/>
      <c r="F896" s="91"/>
      <c r="G896" s="91"/>
      <c r="H896" s="91"/>
      <c r="I896" s="91"/>
      <c r="J896" s="91"/>
      <c r="K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c r="HV896" s="91"/>
      <c r="HW896" s="91"/>
      <c r="HX896" s="91"/>
      <c r="HY896" s="91"/>
      <c r="HZ896" s="91"/>
      <c r="IA896" s="91"/>
      <c r="IB896" s="91"/>
      <c r="IC896" s="91"/>
      <c r="ID896" s="91"/>
      <c r="IE896" s="91"/>
    </row>
    <row r="897" spans="2:239" ht="15" x14ac:dyDescent="0.2">
      <c r="B897" s="91"/>
      <c r="C897" s="91"/>
      <c r="D897" s="91"/>
      <c r="E897" s="227"/>
      <c r="F897" s="91"/>
      <c r="G897" s="91"/>
      <c r="H897" s="91"/>
      <c r="I897" s="91"/>
      <c r="J897" s="91"/>
      <c r="K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c r="HV897" s="91"/>
      <c r="HW897" s="91"/>
      <c r="HX897" s="91"/>
      <c r="HY897" s="91"/>
      <c r="HZ897" s="91"/>
      <c r="IA897" s="91"/>
      <c r="IB897" s="91"/>
      <c r="IC897" s="91"/>
      <c r="ID897" s="91"/>
      <c r="IE897" s="91"/>
    </row>
    <row r="898" spans="2:239" ht="15" x14ac:dyDescent="0.2">
      <c r="B898" s="91"/>
      <c r="C898" s="91"/>
      <c r="D898" s="91"/>
      <c r="E898" s="227"/>
      <c r="F898" s="91"/>
      <c r="G898" s="91"/>
      <c r="H898" s="91"/>
      <c r="I898" s="91"/>
      <c r="J898" s="91"/>
      <c r="K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c r="HV898" s="91"/>
      <c r="HW898" s="91"/>
      <c r="HX898" s="91"/>
      <c r="HY898" s="91"/>
      <c r="HZ898" s="91"/>
      <c r="IA898" s="91"/>
      <c r="IB898" s="91"/>
      <c r="IC898" s="91"/>
      <c r="ID898" s="91"/>
      <c r="IE898" s="91"/>
    </row>
    <row r="899" spans="2:239" ht="15" x14ac:dyDescent="0.2">
      <c r="B899" s="91"/>
      <c r="C899" s="91"/>
      <c r="D899" s="91"/>
      <c r="E899" s="227"/>
      <c r="F899" s="91"/>
      <c r="G899" s="91"/>
      <c r="H899" s="91"/>
      <c r="I899" s="91"/>
      <c r="J899" s="91"/>
      <c r="K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c r="GU899" s="91"/>
      <c r="GV899" s="91"/>
      <c r="GW899" s="91"/>
      <c r="GX899" s="91"/>
      <c r="GY899" s="91"/>
      <c r="GZ899" s="91"/>
      <c r="HA899" s="91"/>
      <c r="HB899" s="91"/>
      <c r="HC899" s="91"/>
      <c r="HD899" s="91"/>
      <c r="HE899" s="91"/>
      <c r="HF899" s="91"/>
      <c r="HG899" s="91"/>
      <c r="HH899" s="91"/>
      <c r="HI899" s="91"/>
      <c r="HJ899" s="91"/>
      <c r="HK899" s="91"/>
      <c r="HL899" s="91"/>
      <c r="HM899" s="91"/>
      <c r="HN899" s="91"/>
      <c r="HO899" s="91"/>
      <c r="HP899" s="91"/>
      <c r="HQ899" s="91"/>
      <c r="HR899" s="91"/>
      <c r="HS899" s="91"/>
      <c r="HT899" s="91"/>
      <c r="HU899" s="91"/>
      <c r="HV899" s="91"/>
      <c r="HW899" s="91"/>
      <c r="HX899" s="91"/>
      <c r="HY899" s="91"/>
      <c r="HZ899" s="91"/>
      <c r="IA899" s="91"/>
      <c r="IB899" s="91"/>
      <c r="IC899" s="91"/>
      <c r="ID899" s="91"/>
      <c r="IE899" s="91"/>
    </row>
    <row r="900" spans="2:239" ht="15" x14ac:dyDescent="0.2">
      <c r="B900" s="91"/>
      <c r="C900" s="91"/>
      <c r="D900" s="91"/>
      <c r="E900" s="227"/>
      <c r="F900" s="91"/>
      <c r="G900" s="91"/>
      <c r="H900" s="91"/>
      <c r="I900" s="91"/>
      <c r="J900" s="91"/>
      <c r="K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c r="GU900" s="91"/>
      <c r="GV900" s="91"/>
      <c r="GW900" s="91"/>
      <c r="GX900" s="91"/>
      <c r="GY900" s="91"/>
      <c r="GZ900" s="91"/>
      <c r="HA900" s="91"/>
      <c r="HB900" s="91"/>
      <c r="HC900" s="91"/>
      <c r="HD900" s="91"/>
      <c r="HE900" s="91"/>
      <c r="HF900" s="91"/>
      <c r="HG900" s="91"/>
      <c r="HH900" s="91"/>
      <c r="HI900" s="91"/>
      <c r="HJ900" s="91"/>
      <c r="HK900" s="91"/>
      <c r="HL900" s="91"/>
      <c r="HM900" s="91"/>
      <c r="HN900" s="91"/>
      <c r="HO900" s="91"/>
      <c r="HP900" s="91"/>
      <c r="HQ900" s="91"/>
      <c r="HR900" s="91"/>
      <c r="HS900" s="91"/>
      <c r="HT900" s="91"/>
      <c r="HU900" s="91"/>
      <c r="HV900" s="91"/>
      <c r="HW900" s="91"/>
      <c r="HX900" s="91"/>
      <c r="HY900" s="91"/>
      <c r="HZ900" s="91"/>
      <c r="IA900" s="91"/>
      <c r="IB900" s="91"/>
      <c r="IC900" s="91"/>
      <c r="ID900" s="91"/>
      <c r="IE900" s="91"/>
    </row>
    <row r="901" spans="2:239" ht="15" x14ac:dyDescent="0.2">
      <c r="B901" s="91"/>
      <c r="C901" s="91"/>
      <c r="D901" s="91"/>
      <c r="E901" s="227"/>
      <c r="F901" s="91"/>
      <c r="G901" s="91"/>
      <c r="H901" s="91"/>
      <c r="I901" s="91"/>
      <c r="J901" s="91"/>
      <c r="K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c r="GU901" s="91"/>
      <c r="GV901" s="91"/>
      <c r="GW901" s="91"/>
      <c r="GX901" s="91"/>
      <c r="GY901" s="91"/>
      <c r="GZ901" s="91"/>
      <c r="HA901" s="91"/>
      <c r="HB901" s="91"/>
      <c r="HC901" s="91"/>
      <c r="HD901" s="91"/>
      <c r="HE901" s="91"/>
      <c r="HF901" s="91"/>
      <c r="HG901" s="91"/>
      <c r="HH901" s="91"/>
      <c r="HI901" s="91"/>
      <c r="HJ901" s="91"/>
      <c r="HK901" s="91"/>
      <c r="HL901" s="91"/>
      <c r="HM901" s="91"/>
      <c r="HN901" s="91"/>
      <c r="HO901" s="91"/>
      <c r="HP901" s="91"/>
      <c r="HQ901" s="91"/>
      <c r="HR901" s="91"/>
      <c r="HS901" s="91"/>
      <c r="HT901" s="91"/>
      <c r="HU901" s="91"/>
      <c r="HV901" s="91"/>
      <c r="HW901" s="91"/>
      <c r="HX901" s="91"/>
      <c r="HY901" s="91"/>
      <c r="HZ901" s="91"/>
      <c r="IA901" s="91"/>
      <c r="IB901" s="91"/>
      <c r="IC901" s="91"/>
      <c r="ID901" s="91"/>
      <c r="IE901" s="91"/>
    </row>
    <row r="902" spans="2:239" ht="15" x14ac:dyDescent="0.2">
      <c r="B902" s="91"/>
      <c r="C902" s="91"/>
      <c r="D902" s="91"/>
      <c r="E902" s="227"/>
      <c r="F902" s="91"/>
      <c r="G902" s="91"/>
      <c r="H902" s="91"/>
      <c r="I902" s="91"/>
      <c r="J902" s="91"/>
      <c r="K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c r="GU902" s="91"/>
      <c r="GV902" s="91"/>
      <c r="GW902" s="91"/>
      <c r="GX902" s="91"/>
      <c r="GY902" s="91"/>
      <c r="GZ902" s="91"/>
      <c r="HA902" s="91"/>
      <c r="HB902" s="91"/>
      <c r="HC902" s="91"/>
      <c r="HD902" s="91"/>
      <c r="HE902" s="91"/>
      <c r="HF902" s="91"/>
      <c r="HG902" s="91"/>
      <c r="HH902" s="91"/>
      <c r="HI902" s="91"/>
      <c r="HJ902" s="91"/>
      <c r="HK902" s="91"/>
      <c r="HL902" s="91"/>
      <c r="HM902" s="91"/>
      <c r="HN902" s="91"/>
      <c r="HO902" s="91"/>
      <c r="HP902" s="91"/>
      <c r="HQ902" s="91"/>
      <c r="HR902" s="91"/>
      <c r="HS902" s="91"/>
      <c r="HT902" s="91"/>
      <c r="HU902" s="91"/>
      <c r="HV902" s="91"/>
      <c r="HW902" s="91"/>
      <c r="HX902" s="91"/>
      <c r="HY902" s="91"/>
      <c r="HZ902" s="91"/>
      <c r="IA902" s="91"/>
      <c r="IB902" s="91"/>
      <c r="IC902" s="91"/>
      <c r="ID902" s="91"/>
      <c r="IE902" s="91"/>
    </row>
    <row r="903" spans="2:239" ht="15" x14ac:dyDescent="0.2">
      <c r="B903" s="91"/>
      <c r="C903" s="91"/>
      <c r="D903" s="91"/>
      <c r="E903" s="227"/>
      <c r="F903" s="91"/>
      <c r="G903" s="91"/>
      <c r="H903" s="91"/>
      <c r="I903" s="91"/>
      <c r="J903" s="91"/>
      <c r="K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c r="GU903" s="91"/>
      <c r="GV903" s="91"/>
      <c r="GW903" s="91"/>
      <c r="GX903" s="91"/>
      <c r="GY903" s="91"/>
      <c r="GZ903" s="91"/>
      <c r="HA903" s="91"/>
      <c r="HB903" s="91"/>
      <c r="HC903" s="91"/>
      <c r="HD903" s="91"/>
      <c r="HE903" s="91"/>
      <c r="HF903" s="91"/>
      <c r="HG903" s="91"/>
      <c r="HH903" s="91"/>
      <c r="HI903" s="91"/>
      <c r="HJ903" s="91"/>
      <c r="HK903" s="91"/>
      <c r="HL903" s="91"/>
      <c r="HM903" s="91"/>
      <c r="HN903" s="91"/>
      <c r="HO903" s="91"/>
      <c r="HP903" s="91"/>
      <c r="HQ903" s="91"/>
      <c r="HR903" s="91"/>
      <c r="HS903" s="91"/>
      <c r="HT903" s="91"/>
      <c r="HU903" s="91"/>
      <c r="HV903" s="91"/>
      <c r="HW903" s="91"/>
      <c r="HX903" s="91"/>
      <c r="HY903" s="91"/>
      <c r="HZ903" s="91"/>
      <c r="IA903" s="91"/>
      <c r="IB903" s="91"/>
      <c r="IC903" s="91"/>
      <c r="ID903" s="91"/>
      <c r="IE903" s="91"/>
    </row>
    <row r="904" spans="2:239" ht="15" x14ac:dyDescent="0.2">
      <c r="B904" s="91"/>
      <c r="C904" s="91"/>
      <c r="D904" s="91"/>
      <c r="E904" s="227"/>
      <c r="F904" s="91"/>
      <c r="G904" s="91"/>
      <c r="H904" s="91"/>
      <c r="I904" s="91"/>
      <c r="J904" s="91"/>
      <c r="K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c r="GU904" s="91"/>
      <c r="GV904" s="91"/>
      <c r="GW904" s="91"/>
      <c r="GX904" s="91"/>
      <c r="GY904" s="91"/>
      <c r="GZ904" s="91"/>
      <c r="HA904" s="91"/>
      <c r="HB904" s="91"/>
      <c r="HC904" s="91"/>
      <c r="HD904" s="91"/>
      <c r="HE904" s="91"/>
      <c r="HF904" s="91"/>
      <c r="HG904" s="91"/>
      <c r="HH904" s="91"/>
      <c r="HI904" s="91"/>
      <c r="HJ904" s="91"/>
      <c r="HK904" s="91"/>
      <c r="HL904" s="91"/>
      <c r="HM904" s="91"/>
      <c r="HN904" s="91"/>
      <c r="HO904" s="91"/>
      <c r="HP904" s="91"/>
      <c r="HQ904" s="91"/>
      <c r="HR904" s="91"/>
      <c r="HS904" s="91"/>
      <c r="HT904" s="91"/>
      <c r="HU904" s="91"/>
      <c r="HV904" s="91"/>
      <c r="HW904" s="91"/>
      <c r="HX904" s="91"/>
      <c r="HY904" s="91"/>
      <c r="HZ904" s="91"/>
      <c r="IA904" s="91"/>
      <c r="IB904" s="91"/>
      <c r="IC904" s="91"/>
      <c r="ID904" s="91"/>
      <c r="IE904" s="91"/>
    </row>
    <row r="905" spans="2:239" ht="15" x14ac:dyDescent="0.2">
      <c r="B905" s="91"/>
      <c r="C905" s="91"/>
      <c r="D905" s="91"/>
      <c r="E905" s="227"/>
      <c r="F905" s="91"/>
      <c r="G905" s="91"/>
      <c r="H905" s="91"/>
      <c r="I905" s="91"/>
      <c r="J905" s="91"/>
      <c r="K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c r="GU905" s="91"/>
      <c r="GV905" s="91"/>
      <c r="GW905" s="91"/>
      <c r="GX905" s="91"/>
      <c r="GY905" s="91"/>
      <c r="GZ905" s="91"/>
      <c r="HA905" s="91"/>
      <c r="HB905" s="91"/>
      <c r="HC905" s="91"/>
      <c r="HD905" s="91"/>
      <c r="HE905" s="91"/>
      <c r="HF905" s="91"/>
      <c r="HG905" s="91"/>
      <c r="HH905" s="91"/>
      <c r="HI905" s="91"/>
      <c r="HJ905" s="91"/>
      <c r="HK905" s="91"/>
      <c r="HL905" s="91"/>
      <c r="HM905" s="91"/>
      <c r="HN905" s="91"/>
      <c r="HO905" s="91"/>
      <c r="HP905" s="91"/>
      <c r="HQ905" s="91"/>
      <c r="HR905" s="91"/>
      <c r="HS905" s="91"/>
      <c r="HT905" s="91"/>
      <c r="HU905" s="91"/>
      <c r="HV905" s="91"/>
      <c r="HW905" s="91"/>
      <c r="HX905" s="91"/>
      <c r="HY905" s="91"/>
      <c r="HZ905" s="91"/>
      <c r="IA905" s="91"/>
      <c r="IB905" s="91"/>
      <c r="IC905" s="91"/>
      <c r="ID905" s="91"/>
      <c r="IE905" s="91"/>
    </row>
    <row r="906" spans="2:239" ht="15" x14ac:dyDescent="0.2">
      <c r="B906" s="91"/>
      <c r="C906" s="91"/>
      <c r="D906" s="91"/>
      <c r="E906" s="227"/>
      <c r="F906" s="91"/>
      <c r="G906" s="91"/>
      <c r="H906" s="91"/>
      <c r="I906" s="91"/>
      <c r="J906" s="91"/>
      <c r="K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c r="GU906" s="91"/>
      <c r="GV906" s="91"/>
      <c r="GW906" s="91"/>
      <c r="GX906" s="91"/>
      <c r="GY906" s="91"/>
      <c r="GZ906" s="91"/>
      <c r="HA906" s="91"/>
      <c r="HB906" s="91"/>
      <c r="HC906" s="91"/>
      <c r="HD906" s="91"/>
      <c r="HE906" s="91"/>
      <c r="HF906" s="91"/>
      <c r="HG906" s="91"/>
      <c r="HH906" s="91"/>
      <c r="HI906" s="91"/>
      <c r="HJ906" s="91"/>
      <c r="HK906" s="91"/>
      <c r="HL906" s="91"/>
      <c r="HM906" s="91"/>
      <c r="HN906" s="91"/>
      <c r="HO906" s="91"/>
      <c r="HP906" s="91"/>
      <c r="HQ906" s="91"/>
      <c r="HR906" s="91"/>
      <c r="HS906" s="91"/>
      <c r="HT906" s="91"/>
      <c r="HU906" s="91"/>
      <c r="HV906" s="91"/>
      <c r="HW906" s="91"/>
      <c r="HX906" s="91"/>
      <c r="HY906" s="91"/>
      <c r="HZ906" s="91"/>
      <c r="IA906" s="91"/>
      <c r="IB906" s="91"/>
      <c r="IC906" s="91"/>
      <c r="ID906" s="91"/>
      <c r="IE906" s="91"/>
    </row>
    <row r="907" spans="2:239" ht="15" x14ac:dyDescent="0.2">
      <c r="B907" s="91"/>
      <c r="C907" s="91"/>
      <c r="D907" s="91"/>
      <c r="E907" s="227"/>
      <c r="F907" s="91"/>
      <c r="G907" s="91"/>
      <c r="H907" s="91"/>
      <c r="I907" s="91"/>
      <c r="J907" s="91"/>
      <c r="K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c r="GU907" s="91"/>
      <c r="GV907" s="91"/>
      <c r="GW907" s="91"/>
      <c r="GX907" s="91"/>
      <c r="GY907" s="91"/>
      <c r="GZ907" s="91"/>
      <c r="HA907" s="91"/>
      <c r="HB907" s="91"/>
      <c r="HC907" s="91"/>
      <c r="HD907" s="91"/>
      <c r="HE907" s="91"/>
      <c r="HF907" s="91"/>
      <c r="HG907" s="91"/>
      <c r="HH907" s="91"/>
      <c r="HI907" s="91"/>
      <c r="HJ907" s="91"/>
      <c r="HK907" s="91"/>
      <c r="HL907" s="91"/>
      <c r="HM907" s="91"/>
      <c r="HN907" s="91"/>
      <c r="HO907" s="91"/>
      <c r="HP907" s="91"/>
      <c r="HQ907" s="91"/>
      <c r="HR907" s="91"/>
      <c r="HS907" s="91"/>
      <c r="HT907" s="91"/>
      <c r="HU907" s="91"/>
      <c r="HV907" s="91"/>
      <c r="HW907" s="91"/>
      <c r="HX907" s="91"/>
      <c r="HY907" s="91"/>
      <c r="HZ907" s="91"/>
      <c r="IA907" s="91"/>
      <c r="IB907" s="91"/>
      <c r="IC907" s="91"/>
      <c r="ID907" s="91"/>
      <c r="IE907" s="91"/>
    </row>
    <row r="908" spans="2:239" ht="15" x14ac:dyDescent="0.2">
      <c r="B908" s="91"/>
      <c r="C908" s="91"/>
      <c r="D908" s="91"/>
      <c r="E908" s="227"/>
      <c r="F908" s="91"/>
      <c r="G908" s="91"/>
      <c r="H908" s="91"/>
      <c r="I908" s="91"/>
      <c r="J908" s="91"/>
      <c r="K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c r="GU908" s="91"/>
      <c r="GV908" s="91"/>
      <c r="GW908" s="91"/>
      <c r="GX908" s="91"/>
      <c r="GY908" s="91"/>
      <c r="GZ908" s="91"/>
      <c r="HA908" s="91"/>
      <c r="HB908" s="91"/>
      <c r="HC908" s="91"/>
      <c r="HD908" s="91"/>
      <c r="HE908" s="91"/>
      <c r="HF908" s="91"/>
      <c r="HG908" s="91"/>
      <c r="HH908" s="91"/>
      <c r="HI908" s="91"/>
      <c r="HJ908" s="91"/>
      <c r="HK908" s="91"/>
      <c r="HL908" s="91"/>
      <c r="HM908" s="91"/>
      <c r="HN908" s="91"/>
      <c r="HO908" s="91"/>
      <c r="HP908" s="91"/>
      <c r="HQ908" s="91"/>
      <c r="HR908" s="91"/>
      <c r="HS908" s="91"/>
      <c r="HT908" s="91"/>
      <c r="HU908" s="91"/>
      <c r="HV908" s="91"/>
      <c r="HW908" s="91"/>
      <c r="HX908" s="91"/>
      <c r="HY908" s="91"/>
      <c r="HZ908" s="91"/>
      <c r="IA908" s="91"/>
      <c r="IB908" s="91"/>
      <c r="IC908" s="91"/>
      <c r="ID908" s="91"/>
      <c r="IE908" s="91"/>
    </row>
    <row r="909" spans="2:239" ht="15" x14ac:dyDescent="0.2">
      <c r="B909" s="91"/>
      <c r="C909" s="91"/>
      <c r="D909" s="91"/>
      <c r="E909" s="227"/>
      <c r="F909" s="91"/>
      <c r="G909" s="91"/>
      <c r="H909" s="91"/>
      <c r="I909" s="91"/>
      <c r="J909" s="91"/>
      <c r="K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c r="GU909" s="91"/>
      <c r="GV909" s="91"/>
      <c r="GW909" s="91"/>
      <c r="GX909" s="91"/>
      <c r="GY909" s="91"/>
      <c r="GZ909" s="91"/>
      <c r="HA909" s="91"/>
      <c r="HB909" s="91"/>
      <c r="HC909" s="91"/>
      <c r="HD909" s="91"/>
      <c r="HE909" s="91"/>
      <c r="HF909" s="91"/>
      <c r="HG909" s="91"/>
      <c r="HH909" s="91"/>
      <c r="HI909" s="91"/>
      <c r="HJ909" s="91"/>
      <c r="HK909" s="91"/>
      <c r="HL909" s="91"/>
      <c r="HM909" s="91"/>
      <c r="HN909" s="91"/>
      <c r="HO909" s="91"/>
      <c r="HP909" s="91"/>
      <c r="HQ909" s="91"/>
      <c r="HR909" s="91"/>
      <c r="HS909" s="91"/>
      <c r="HT909" s="91"/>
      <c r="HU909" s="91"/>
      <c r="HV909" s="91"/>
      <c r="HW909" s="91"/>
      <c r="HX909" s="91"/>
      <c r="HY909" s="91"/>
      <c r="HZ909" s="91"/>
      <c r="IA909" s="91"/>
      <c r="IB909" s="91"/>
      <c r="IC909" s="91"/>
      <c r="ID909" s="91"/>
      <c r="IE909" s="91"/>
    </row>
    <row r="910" spans="2:239" ht="15" x14ac:dyDescent="0.2">
      <c r="B910" s="91"/>
      <c r="C910" s="91"/>
      <c r="D910" s="91"/>
      <c r="E910" s="227"/>
      <c r="F910" s="91"/>
      <c r="G910" s="91"/>
      <c r="H910" s="91"/>
      <c r="I910" s="91"/>
      <c r="J910" s="91"/>
      <c r="K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c r="GU910" s="91"/>
      <c r="GV910" s="91"/>
      <c r="GW910" s="91"/>
      <c r="GX910" s="91"/>
      <c r="GY910" s="91"/>
      <c r="GZ910" s="91"/>
      <c r="HA910" s="91"/>
      <c r="HB910" s="91"/>
      <c r="HC910" s="91"/>
      <c r="HD910" s="91"/>
      <c r="HE910" s="91"/>
      <c r="HF910" s="91"/>
      <c r="HG910" s="91"/>
      <c r="HH910" s="91"/>
      <c r="HI910" s="91"/>
      <c r="HJ910" s="91"/>
      <c r="HK910" s="91"/>
      <c r="HL910" s="91"/>
      <c r="HM910" s="91"/>
      <c r="HN910" s="91"/>
      <c r="HO910" s="91"/>
      <c r="HP910" s="91"/>
      <c r="HQ910" s="91"/>
      <c r="HR910" s="91"/>
      <c r="HS910" s="91"/>
      <c r="HT910" s="91"/>
      <c r="HU910" s="91"/>
      <c r="HV910" s="91"/>
      <c r="HW910" s="91"/>
      <c r="HX910" s="91"/>
      <c r="HY910" s="91"/>
      <c r="HZ910" s="91"/>
      <c r="IA910" s="91"/>
      <c r="IB910" s="91"/>
      <c r="IC910" s="91"/>
      <c r="ID910" s="91"/>
      <c r="IE910" s="91"/>
    </row>
    <row r="911" spans="2:239" ht="15" x14ac:dyDescent="0.2">
      <c r="B911" s="91"/>
      <c r="C911" s="91"/>
      <c r="D911" s="91"/>
      <c r="E911" s="227"/>
      <c r="F911" s="91"/>
      <c r="G911" s="91"/>
      <c r="H911" s="91"/>
      <c r="I911" s="91"/>
      <c r="J911" s="91"/>
      <c r="K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c r="GU911" s="91"/>
      <c r="GV911" s="91"/>
      <c r="GW911" s="91"/>
      <c r="GX911" s="91"/>
      <c r="GY911" s="91"/>
      <c r="GZ911" s="91"/>
      <c r="HA911" s="91"/>
      <c r="HB911" s="91"/>
      <c r="HC911" s="91"/>
      <c r="HD911" s="91"/>
      <c r="HE911" s="91"/>
      <c r="HF911" s="91"/>
      <c r="HG911" s="91"/>
      <c r="HH911" s="91"/>
      <c r="HI911" s="91"/>
      <c r="HJ911" s="91"/>
      <c r="HK911" s="91"/>
      <c r="HL911" s="91"/>
      <c r="HM911" s="91"/>
      <c r="HN911" s="91"/>
      <c r="HO911" s="91"/>
      <c r="HP911" s="91"/>
      <c r="HQ911" s="91"/>
      <c r="HR911" s="91"/>
      <c r="HS911" s="91"/>
      <c r="HT911" s="91"/>
      <c r="HU911" s="91"/>
      <c r="HV911" s="91"/>
      <c r="HW911" s="91"/>
      <c r="HX911" s="91"/>
      <c r="HY911" s="91"/>
      <c r="HZ911" s="91"/>
      <c r="IA911" s="91"/>
      <c r="IB911" s="91"/>
      <c r="IC911" s="91"/>
      <c r="ID911" s="91"/>
      <c r="IE911" s="91"/>
    </row>
    <row r="912" spans="2:239" ht="15" x14ac:dyDescent="0.2">
      <c r="B912" s="91"/>
      <c r="C912" s="91"/>
      <c r="D912" s="91"/>
      <c r="E912" s="227"/>
      <c r="F912" s="91"/>
      <c r="G912" s="91"/>
      <c r="H912" s="91"/>
      <c r="I912" s="91"/>
      <c r="J912" s="91"/>
      <c r="K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c r="GU912" s="91"/>
      <c r="GV912" s="91"/>
      <c r="GW912" s="91"/>
      <c r="GX912" s="91"/>
      <c r="GY912" s="91"/>
      <c r="GZ912" s="91"/>
      <c r="HA912" s="91"/>
      <c r="HB912" s="91"/>
      <c r="HC912" s="91"/>
      <c r="HD912" s="91"/>
      <c r="HE912" s="91"/>
      <c r="HF912" s="91"/>
      <c r="HG912" s="91"/>
      <c r="HH912" s="91"/>
      <c r="HI912" s="91"/>
      <c r="HJ912" s="91"/>
      <c r="HK912" s="91"/>
      <c r="HL912" s="91"/>
      <c r="HM912" s="91"/>
      <c r="HN912" s="91"/>
      <c r="HO912" s="91"/>
      <c r="HP912" s="91"/>
      <c r="HQ912" s="91"/>
      <c r="HR912" s="91"/>
      <c r="HS912" s="91"/>
      <c r="HT912" s="91"/>
      <c r="HU912" s="91"/>
      <c r="HV912" s="91"/>
      <c r="HW912" s="91"/>
      <c r="HX912" s="91"/>
      <c r="HY912" s="91"/>
      <c r="HZ912" s="91"/>
      <c r="IA912" s="91"/>
      <c r="IB912" s="91"/>
      <c r="IC912" s="91"/>
      <c r="ID912" s="91"/>
      <c r="IE912" s="91"/>
    </row>
    <row r="913" spans="2:239" ht="15" x14ac:dyDescent="0.2">
      <c r="B913" s="91"/>
      <c r="C913" s="91"/>
      <c r="D913" s="91"/>
      <c r="E913" s="227"/>
      <c r="F913" s="91"/>
      <c r="G913" s="91"/>
      <c r="H913" s="91"/>
      <c r="I913" s="91"/>
      <c r="J913" s="91"/>
      <c r="K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c r="GU913" s="91"/>
      <c r="GV913" s="91"/>
      <c r="GW913" s="91"/>
      <c r="GX913" s="91"/>
      <c r="GY913" s="91"/>
      <c r="GZ913" s="91"/>
      <c r="HA913" s="91"/>
      <c r="HB913" s="91"/>
      <c r="HC913" s="91"/>
      <c r="HD913" s="91"/>
      <c r="HE913" s="91"/>
      <c r="HF913" s="91"/>
      <c r="HG913" s="91"/>
      <c r="HH913" s="91"/>
      <c r="HI913" s="91"/>
      <c r="HJ913" s="91"/>
      <c r="HK913" s="91"/>
      <c r="HL913" s="91"/>
      <c r="HM913" s="91"/>
      <c r="HN913" s="91"/>
      <c r="HO913" s="91"/>
      <c r="HP913" s="91"/>
      <c r="HQ913" s="91"/>
      <c r="HR913" s="91"/>
      <c r="HS913" s="91"/>
      <c r="HT913" s="91"/>
      <c r="HU913" s="91"/>
      <c r="HV913" s="91"/>
      <c r="HW913" s="91"/>
      <c r="HX913" s="91"/>
      <c r="HY913" s="91"/>
      <c r="HZ913" s="91"/>
      <c r="IA913" s="91"/>
      <c r="IB913" s="91"/>
      <c r="IC913" s="91"/>
      <c r="ID913" s="91"/>
      <c r="IE913" s="91"/>
    </row>
    <row r="914" spans="2:239" ht="15" x14ac:dyDescent="0.2">
      <c r="B914" s="91"/>
      <c r="C914" s="91"/>
      <c r="D914" s="91"/>
      <c r="E914" s="227"/>
      <c r="F914" s="91"/>
      <c r="G914" s="91"/>
      <c r="H914" s="91"/>
      <c r="I914" s="91"/>
      <c r="J914" s="91"/>
      <c r="K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c r="GU914" s="91"/>
      <c r="GV914" s="91"/>
      <c r="GW914" s="91"/>
      <c r="GX914" s="91"/>
      <c r="GY914" s="91"/>
      <c r="GZ914" s="91"/>
      <c r="HA914" s="91"/>
      <c r="HB914" s="91"/>
      <c r="HC914" s="91"/>
      <c r="HD914" s="91"/>
      <c r="HE914" s="91"/>
      <c r="HF914" s="91"/>
      <c r="HG914" s="91"/>
      <c r="HH914" s="91"/>
      <c r="HI914" s="91"/>
      <c r="HJ914" s="91"/>
      <c r="HK914" s="91"/>
      <c r="HL914" s="91"/>
      <c r="HM914" s="91"/>
      <c r="HN914" s="91"/>
      <c r="HO914" s="91"/>
      <c r="HP914" s="91"/>
      <c r="HQ914" s="91"/>
      <c r="HR914" s="91"/>
      <c r="HS914" s="91"/>
      <c r="HT914" s="91"/>
      <c r="HU914" s="91"/>
      <c r="HV914" s="91"/>
      <c r="HW914" s="91"/>
      <c r="HX914" s="91"/>
      <c r="HY914" s="91"/>
      <c r="HZ914" s="91"/>
      <c r="IA914" s="91"/>
      <c r="IB914" s="91"/>
      <c r="IC914" s="91"/>
      <c r="ID914" s="91"/>
      <c r="IE914" s="91"/>
    </row>
    <row r="915" spans="2:239" ht="15" x14ac:dyDescent="0.2">
      <c r="B915" s="91"/>
      <c r="C915" s="91"/>
      <c r="D915" s="91"/>
      <c r="E915" s="227"/>
      <c r="F915" s="91"/>
      <c r="G915" s="91"/>
      <c r="H915" s="91"/>
      <c r="I915" s="91"/>
      <c r="J915" s="91"/>
      <c r="K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c r="GU915" s="91"/>
      <c r="GV915" s="91"/>
      <c r="GW915" s="91"/>
      <c r="GX915" s="91"/>
      <c r="GY915" s="91"/>
      <c r="GZ915" s="91"/>
      <c r="HA915" s="91"/>
      <c r="HB915" s="91"/>
      <c r="HC915" s="91"/>
      <c r="HD915" s="91"/>
      <c r="HE915" s="91"/>
      <c r="HF915" s="91"/>
      <c r="HG915" s="91"/>
      <c r="HH915" s="91"/>
      <c r="HI915" s="91"/>
      <c r="HJ915" s="91"/>
      <c r="HK915" s="91"/>
      <c r="HL915" s="91"/>
      <c r="HM915" s="91"/>
      <c r="HN915" s="91"/>
      <c r="HO915" s="91"/>
      <c r="HP915" s="91"/>
      <c r="HQ915" s="91"/>
      <c r="HR915" s="91"/>
      <c r="HS915" s="91"/>
      <c r="HT915" s="91"/>
      <c r="HU915" s="91"/>
      <c r="HV915" s="91"/>
      <c r="HW915" s="91"/>
      <c r="HX915" s="91"/>
      <c r="HY915" s="91"/>
      <c r="HZ915" s="91"/>
      <c r="IA915" s="91"/>
      <c r="IB915" s="91"/>
      <c r="IC915" s="91"/>
      <c r="ID915" s="91"/>
      <c r="IE915" s="91"/>
    </row>
    <row r="916" spans="2:239" ht="15" x14ac:dyDescent="0.2">
      <c r="B916" s="91"/>
      <c r="C916" s="91"/>
      <c r="D916" s="91"/>
      <c r="E916" s="227"/>
      <c r="F916" s="91"/>
      <c r="G916" s="91"/>
      <c r="H916" s="91"/>
      <c r="I916" s="91"/>
      <c r="J916" s="91"/>
      <c r="K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c r="GU916" s="91"/>
      <c r="GV916" s="91"/>
      <c r="GW916" s="91"/>
      <c r="GX916" s="91"/>
      <c r="GY916" s="91"/>
      <c r="GZ916" s="91"/>
      <c r="HA916" s="91"/>
      <c r="HB916" s="91"/>
      <c r="HC916" s="91"/>
      <c r="HD916" s="91"/>
      <c r="HE916" s="91"/>
      <c r="HF916" s="91"/>
      <c r="HG916" s="91"/>
      <c r="HH916" s="91"/>
      <c r="HI916" s="91"/>
      <c r="HJ916" s="91"/>
      <c r="HK916" s="91"/>
      <c r="HL916" s="91"/>
      <c r="HM916" s="91"/>
      <c r="HN916" s="91"/>
      <c r="HO916" s="91"/>
      <c r="HP916" s="91"/>
      <c r="HQ916" s="91"/>
      <c r="HR916" s="91"/>
      <c r="HS916" s="91"/>
      <c r="HT916" s="91"/>
      <c r="HU916" s="91"/>
      <c r="HV916" s="91"/>
      <c r="HW916" s="91"/>
      <c r="HX916" s="91"/>
      <c r="HY916" s="91"/>
      <c r="HZ916" s="91"/>
      <c r="IA916" s="91"/>
      <c r="IB916" s="91"/>
      <c r="IC916" s="91"/>
      <c r="ID916" s="91"/>
      <c r="IE916" s="91"/>
    </row>
    <row r="917" spans="2:239" ht="15" x14ac:dyDescent="0.2">
      <c r="B917" s="91"/>
      <c r="C917" s="91"/>
      <c r="D917" s="91"/>
      <c r="E917" s="227"/>
      <c r="F917" s="91"/>
      <c r="G917" s="91"/>
      <c r="H917" s="91"/>
      <c r="I917" s="91"/>
      <c r="J917" s="91"/>
      <c r="K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c r="GU917" s="91"/>
      <c r="GV917" s="91"/>
      <c r="GW917" s="91"/>
      <c r="GX917" s="91"/>
      <c r="GY917" s="91"/>
      <c r="GZ917" s="91"/>
      <c r="HA917" s="91"/>
      <c r="HB917" s="91"/>
      <c r="HC917" s="91"/>
      <c r="HD917" s="91"/>
      <c r="HE917" s="91"/>
      <c r="HF917" s="91"/>
      <c r="HG917" s="91"/>
      <c r="HH917" s="91"/>
      <c r="HI917" s="91"/>
      <c r="HJ917" s="91"/>
      <c r="HK917" s="91"/>
      <c r="HL917" s="91"/>
      <c r="HM917" s="91"/>
      <c r="HN917" s="91"/>
      <c r="HO917" s="91"/>
      <c r="HP917" s="91"/>
      <c r="HQ917" s="91"/>
      <c r="HR917" s="91"/>
      <c r="HS917" s="91"/>
      <c r="HT917" s="91"/>
      <c r="HU917" s="91"/>
      <c r="HV917" s="91"/>
      <c r="HW917" s="91"/>
      <c r="HX917" s="91"/>
      <c r="HY917" s="91"/>
      <c r="HZ917" s="91"/>
      <c r="IA917" s="91"/>
      <c r="IB917" s="91"/>
      <c r="IC917" s="91"/>
      <c r="ID917" s="91"/>
      <c r="IE917" s="91"/>
    </row>
    <row r="918" spans="2:239" ht="15" x14ac:dyDescent="0.2">
      <c r="B918" s="91"/>
      <c r="C918" s="91"/>
      <c r="D918" s="91"/>
      <c r="E918" s="227"/>
      <c r="F918" s="91"/>
      <c r="G918" s="91"/>
      <c r="H918" s="91"/>
      <c r="I918" s="91"/>
      <c r="J918" s="91"/>
      <c r="K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c r="GU918" s="91"/>
      <c r="GV918" s="91"/>
      <c r="GW918" s="91"/>
      <c r="GX918" s="91"/>
      <c r="GY918" s="91"/>
      <c r="GZ918" s="91"/>
      <c r="HA918" s="91"/>
      <c r="HB918" s="91"/>
      <c r="HC918" s="91"/>
      <c r="HD918" s="91"/>
      <c r="HE918" s="91"/>
      <c r="HF918" s="91"/>
      <c r="HG918" s="91"/>
      <c r="HH918" s="91"/>
      <c r="HI918" s="91"/>
      <c r="HJ918" s="91"/>
      <c r="HK918" s="91"/>
      <c r="HL918" s="91"/>
      <c r="HM918" s="91"/>
      <c r="HN918" s="91"/>
      <c r="HO918" s="91"/>
      <c r="HP918" s="91"/>
      <c r="HQ918" s="91"/>
      <c r="HR918" s="91"/>
      <c r="HS918" s="91"/>
      <c r="HT918" s="91"/>
      <c r="HU918" s="91"/>
      <c r="HV918" s="91"/>
      <c r="HW918" s="91"/>
      <c r="HX918" s="91"/>
      <c r="HY918" s="91"/>
      <c r="HZ918" s="91"/>
      <c r="IA918" s="91"/>
      <c r="IB918" s="91"/>
      <c r="IC918" s="91"/>
      <c r="ID918" s="91"/>
      <c r="IE918" s="91"/>
    </row>
    <row r="919" spans="2:239" ht="15" x14ac:dyDescent="0.2">
      <c r="B919" s="91"/>
      <c r="C919" s="91"/>
      <c r="D919" s="91"/>
      <c r="E919" s="227"/>
      <c r="F919" s="91"/>
      <c r="G919" s="91"/>
      <c r="H919" s="91"/>
      <c r="I919" s="91"/>
      <c r="J919" s="91"/>
      <c r="K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c r="GU919" s="91"/>
      <c r="GV919" s="91"/>
      <c r="GW919" s="91"/>
      <c r="GX919" s="91"/>
      <c r="GY919" s="91"/>
      <c r="GZ919" s="91"/>
      <c r="HA919" s="91"/>
      <c r="HB919" s="91"/>
      <c r="HC919" s="91"/>
      <c r="HD919" s="91"/>
      <c r="HE919" s="91"/>
      <c r="HF919" s="91"/>
      <c r="HG919" s="91"/>
      <c r="HH919" s="91"/>
      <c r="HI919" s="91"/>
      <c r="HJ919" s="91"/>
      <c r="HK919" s="91"/>
      <c r="HL919" s="91"/>
      <c r="HM919" s="91"/>
      <c r="HN919" s="91"/>
      <c r="HO919" s="91"/>
      <c r="HP919" s="91"/>
      <c r="HQ919" s="91"/>
      <c r="HR919" s="91"/>
      <c r="HS919" s="91"/>
      <c r="HT919" s="91"/>
      <c r="HU919" s="91"/>
      <c r="HV919" s="91"/>
      <c r="HW919" s="91"/>
      <c r="HX919" s="91"/>
      <c r="HY919" s="91"/>
      <c r="HZ919" s="91"/>
      <c r="IA919" s="91"/>
      <c r="IB919" s="91"/>
      <c r="IC919" s="91"/>
      <c r="ID919" s="91"/>
      <c r="IE919" s="91"/>
    </row>
    <row r="920" spans="2:239" ht="15" x14ac:dyDescent="0.2">
      <c r="B920" s="91"/>
      <c r="C920" s="91"/>
      <c r="D920" s="91"/>
      <c r="E920" s="227"/>
      <c r="F920" s="91"/>
      <c r="G920" s="91"/>
      <c r="H920" s="91"/>
      <c r="I920" s="91"/>
      <c r="J920" s="91"/>
      <c r="K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c r="GU920" s="91"/>
      <c r="GV920" s="91"/>
      <c r="GW920" s="91"/>
      <c r="GX920" s="91"/>
      <c r="GY920" s="91"/>
      <c r="GZ920" s="91"/>
      <c r="HA920" s="91"/>
      <c r="HB920" s="91"/>
      <c r="HC920" s="91"/>
      <c r="HD920" s="91"/>
      <c r="HE920" s="91"/>
      <c r="HF920" s="91"/>
      <c r="HG920" s="91"/>
      <c r="HH920" s="91"/>
      <c r="HI920" s="91"/>
      <c r="HJ920" s="91"/>
      <c r="HK920" s="91"/>
      <c r="HL920" s="91"/>
      <c r="HM920" s="91"/>
      <c r="HN920" s="91"/>
      <c r="HO920" s="91"/>
      <c r="HP920" s="91"/>
      <c r="HQ920" s="91"/>
      <c r="HR920" s="91"/>
      <c r="HS920" s="91"/>
      <c r="HT920" s="91"/>
      <c r="HU920" s="91"/>
      <c r="HV920" s="91"/>
      <c r="HW920" s="91"/>
      <c r="HX920" s="91"/>
      <c r="HY920" s="91"/>
      <c r="HZ920" s="91"/>
      <c r="IA920" s="91"/>
      <c r="IB920" s="91"/>
      <c r="IC920" s="91"/>
      <c r="ID920" s="91"/>
      <c r="IE920" s="91"/>
    </row>
    <row r="921" spans="2:239" ht="15" x14ac:dyDescent="0.2">
      <c r="B921" s="91"/>
      <c r="C921" s="91"/>
      <c r="D921" s="91"/>
      <c r="E921" s="227"/>
      <c r="F921" s="91"/>
      <c r="G921" s="91"/>
      <c r="H921" s="91"/>
      <c r="I921" s="91"/>
      <c r="J921" s="91"/>
      <c r="K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c r="GU921" s="91"/>
      <c r="GV921" s="91"/>
      <c r="GW921" s="91"/>
      <c r="GX921" s="91"/>
      <c r="GY921" s="91"/>
      <c r="GZ921" s="91"/>
      <c r="HA921" s="91"/>
      <c r="HB921" s="91"/>
      <c r="HC921" s="91"/>
      <c r="HD921" s="91"/>
      <c r="HE921" s="91"/>
      <c r="HF921" s="91"/>
      <c r="HG921" s="91"/>
      <c r="HH921" s="91"/>
      <c r="HI921" s="91"/>
      <c r="HJ921" s="91"/>
      <c r="HK921" s="91"/>
      <c r="HL921" s="91"/>
      <c r="HM921" s="91"/>
      <c r="HN921" s="91"/>
      <c r="HO921" s="91"/>
      <c r="HP921" s="91"/>
      <c r="HQ921" s="91"/>
      <c r="HR921" s="91"/>
      <c r="HS921" s="91"/>
      <c r="HT921" s="91"/>
      <c r="HU921" s="91"/>
      <c r="HV921" s="91"/>
      <c r="HW921" s="91"/>
      <c r="HX921" s="91"/>
      <c r="HY921" s="91"/>
      <c r="HZ921" s="91"/>
      <c r="IA921" s="91"/>
      <c r="IB921" s="91"/>
      <c r="IC921" s="91"/>
      <c r="ID921" s="91"/>
      <c r="IE921" s="91"/>
    </row>
    <row r="922" spans="2:239" ht="15" x14ac:dyDescent="0.2">
      <c r="B922" s="91"/>
      <c r="C922" s="91"/>
      <c r="D922" s="91"/>
      <c r="E922" s="227"/>
      <c r="F922" s="91"/>
      <c r="G922" s="91"/>
      <c r="H922" s="91"/>
      <c r="I922" s="91"/>
      <c r="J922" s="91"/>
      <c r="K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c r="GU922" s="91"/>
      <c r="GV922" s="91"/>
      <c r="GW922" s="91"/>
      <c r="GX922" s="91"/>
      <c r="GY922" s="91"/>
      <c r="GZ922" s="91"/>
      <c r="HA922" s="91"/>
      <c r="HB922" s="91"/>
      <c r="HC922" s="91"/>
      <c r="HD922" s="91"/>
      <c r="HE922" s="91"/>
      <c r="HF922" s="91"/>
      <c r="HG922" s="91"/>
      <c r="HH922" s="91"/>
      <c r="HI922" s="91"/>
      <c r="HJ922" s="91"/>
      <c r="HK922" s="91"/>
      <c r="HL922" s="91"/>
      <c r="HM922" s="91"/>
      <c r="HN922" s="91"/>
      <c r="HO922" s="91"/>
      <c r="HP922" s="91"/>
      <c r="HQ922" s="91"/>
      <c r="HR922" s="91"/>
      <c r="HS922" s="91"/>
      <c r="HT922" s="91"/>
      <c r="HU922" s="91"/>
      <c r="HV922" s="91"/>
      <c r="HW922" s="91"/>
      <c r="HX922" s="91"/>
      <c r="HY922" s="91"/>
      <c r="HZ922" s="91"/>
      <c r="IA922" s="91"/>
      <c r="IB922" s="91"/>
      <c r="IC922" s="91"/>
      <c r="ID922" s="91"/>
      <c r="IE922" s="91"/>
    </row>
    <row r="923" spans="2:239" ht="15" x14ac:dyDescent="0.2">
      <c r="B923" s="91"/>
      <c r="C923" s="91"/>
      <c r="D923" s="91"/>
      <c r="E923" s="227"/>
      <c r="F923" s="91"/>
      <c r="G923" s="91"/>
      <c r="H923" s="91"/>
      <c r="I923" s="91"/>
      <c r="J923" s="91"/>
      <c r="K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c r="HV923" s="91"/>
      <c r="HW923" s="91"/>
      <c r="HX923" s="91"/>
      <c r="HY923" s="91"/>
      <c r="HZ923" s="91"/>
      <c r="IA923" s="91"/>
      <c r="IB923" s="91"/>
      <c r="IC923" s="91"/>
      <c r="ID923" s="91"/>
      <c r="IE923" s="91"/>
    </row>
    <row r="924" spans="2:239" ht="15" x14ac:dyDescent="0.2">
      <c r="B924" s="91"/>
      <c r="C924" s="91"/>
      <c r="D924" s="91"/>
      <c r="E924" s="227"/>
      <c r="F924" s="91"/>
      <c r="G924" s="91"/>
      <c r="H924" s="91"/>
      <c r="I924" s="91"/>
      <c r="J924" s="91"/>
      <c r="K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c r="HV924" s="91"/>
      <c r="HW924" s="91"/>
      <c r="HX924" s="91"/>
      <c r="HY924" s="91"/>
      <c r="HZ924" s="91"/>
      <c r="IA924" s="91"/>
      <c r="IB924" s="91"/>
      <c r="IC924" s="91"/>
      <c r="ID924" s="91"/>
      <c r="IE924" s="91"/>
    </row>
    <row r="925" spans="2:239" ht="15" x14ac:dyDescent="0.2">
      <c r="B925" s="91"/>
      <c r="C925" s="91"/>
      <c r="D925" s="91"/>
      <c r="E925" s="227"/>
      <c r="F925" s="91"/>
      <c r="G925" s="91"/>
      <c r="H925" s="91"/>
      <c r="I925" s="91"/>
      <c r="J925" s="91"/>
      <c r="K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c r="HV925" s="91"/>
      <c r="HW925" s="91"/>
      <c r="HX925" s="91"/>
      <c r="HY925" s="91"/>
      <c r="HZ925" s="91"/>
      <c r="IA925" s="91"/>
      <c r="IB925" s="91"/>
      <c r="IC925" s="91"/>
      <c r="ID925" s="91"/>
      <c r="IE925" s="91"/>
    </row>
    <row r="926" spans="2:239" ht="15" x14ac:dyDescent="0.2">
      <c r="B926" s="91"/>
      <c r="C926" s="91"/>
      <c r="D926" s="91"/>
      <c r="E926" s="227"/>
      <c r="F926" s="91"/>
      <c r="G926" s="91"/>
      <c r="H926" s="91"/>
      <c r="I926" s="91"/>
      <c r="J926" s="91"/>
      <c r="K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c r="GU926" s="91"/>
      <c r="GV926" s="91"/>
      <c r="GW926" s="91"/>
      <c r="GX926" s="91"/>
      <c r="GY926" s="91"/>
      <c r="GZ926" s="91"/>
      <c r="HA926" s="91"/>
      <c r="HB926" s="91"/>
      <c r="HC926" s="91"/>
      <c r="HD926" s="91"/>
      <c r="HE926" s="91"/>
      <c r="HF926" s="91"/>
      <c r="HG926" s="91"/>
      <c r="HH926" s="91"/>
      <c r="HI926" s="91"/>
      <c r="HJ926" s="91"/>
      <c r="HK926" s="91"/>
      <c r="HL926" s="91"/>
      <c r="HM926" s="91"/>
      <c r="HN926" s="91"/>
      <c r="HO926" s="91"/>
      <c r="HP926" s="91"/>
      <c r="HQ926" s="91"/>
      <c r="HR926" s="91"/>
      <c r="HS926" s="91"/>
      <c r="HT926" s="91"/>
      <c r="HU926" s="91"/>
      <c r="HV926" s="91"/>
      <c r="HW926" s="91"/>
      <c r="HX926" s="91"/>
      <c r="HY926" s="91"/>
      <c r="HZ926" s="91"/>
      <c r="IA926" s="91"/>
      <c r="IB926" s="91"/>
      <c r="IC926" s="91"/>
      <c r="ID926" s="91"/>
      <c r="IE926" s="91"/>
    </row>
    <row r="927" spans="2:239" ht="15" x14ac:dyDescent="0.2">
      <c r="B927" s="91"/>
      <c r="C927" s="91"/>
      <c r="D927" s="91"/>
      <c r="E927" s="227"/>
      <c r="F927" s="91"/>
      <c r="G927" s="91"/>
      <c r="H927" s="91"/>
      <c r="I927" s="91"/>
      <c r="J927" s="91"/>
      <c r="K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c r="HV927" s="91"/>
      <c r="HW927" s="91"/>
      <c r="HX927" s="91"/>
      <c r="HY927" s="91"/>
      <c r="HZ927" s="91"/>
      <c r="IA927" s="91"/>
      <c r="IB927" s="91"/>
      <c r="IC927" s="91"/>
      <c r="ID927" s="91"/>
      <c r="IE927" s="91"/>
    </row>
    <row r="928" spans="2:239" ht="15" x14ac:dyDescent="0.2">
      <c r="B928" s="91"/>
      <c r="C928" s="91"/>
      <c r="D928" s="91"/>
      <c r="E928" s="227"/>
      <c r="F928" s="91"/>
      <c r="G928" s="91"/>
      <c r="H928" s="91"/>
      <c r="I928" s="91"/>
      <c r="J928" s="91"/>
      <c r="K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c r="GU928" s="91"/>
      <c r="GV928" s="91"/>
      <c r="GW928" s="91"/>
      <c r="GX928" s="91"/>
      <c r="GY928" s="91"/>
      <c r="GZ928" s="91"/>
      <c r="HA928" s="91"/>
      <c r="HB928" s="91"/>
      <c r="HC928" s="91"/>
      <c r="HD928" s="91"/>
      <c r="HE928" s="91"/>
      <c r="HF928" s="91"/>
      <c r="HG928" s="91"/>
      <c r="HH928" s="91"/>
      <c r="HI928" s="91"/>
      <c r="HJ928" s="91"/>
      <c r="HK928" s="91"/>
      <c r="HL928" s="91"/>
      <c r="HM928" s="91"/>
      <c r="HN928" s="91"/>
      <c r="HO928" s="91"/>
      <c r="HP928" s="91"/>
      <c r="HQ928" s="91"/>
      <c r="HR928" s="91"/>
      <c r="HS928" s="91"/>
      <c r="HT928" s="91"/>
      <c r="HU928" s="91"/>
      <c r="HV928" s="91"/>
      <c r="HW928" s="91"/>
      <c r="HX928" s="91"/>
      <c r="HY928" s="91"/>
      <c r="HZ928" s="91"/>
      <c r="IA928" s="91"/>
      <c r="IB928" s="91"/>
      <c r="IC928" s="91"/>
      <c r="ID928" s="91"/>
      <c r="IE928" s="91"/>
    </row>
    <row r="929" spans="2:239" ht="15" x14ac:dyDescent="0.2">
      <c r="B929" s="91"/>
      <c r="C929" s="91"/>
      <c r="D929" s="91"/>
      <c r="E929" s="227"/>
      <c r="F929" s="91"/>
      <c r="G929" s="91"/>
      <c r="H929" s="91"/>
      <c r="I929" s="91"/>
      <c r="J929" s="91"/>
      <c r="K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c r="HV929" s="91"/>
      <c r="HW929" s="91"/>
      <c r="HX929" s="91"/>
      <c r="HY929" s="91"/>
      <c r="HZ929" s="91"/>
      <c r="IA929" s="91"/>
      <c r="IB929" s="91"/>
      <c r="IC929" s="91"/>
      <c r="ID929" s="91"/>
      <c r="IE929" s="91"/>
    </row>
    <row r="930" spans="2:239" ht="15" x14ac:dyDescent="0.2">
      <c r="B930" s="91"/>
      <c r="C930" s="91"/>
      <c r="D930" s="91"/>
      <c r="E930" s="227"/>
      <c r="F930" s="91"/>
      <c r="G930" s="91"/>
      <c r="H930" s="91"/>
      <c r="I930" s="91"/>
      <c r="J930" s="91"/>
      <c r="K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c r="GU930" s="91"/>
      <c r="GV930" s="91"/>
      <c r="GW930" s="91"/>
      <c r="GX930" s="91"/>
      <c r="GY930" s="91"/>
      <c r="GZ930" s="91"/>
      <c r="HA930" s="91"/>
      <c r="HB930" s="91"/>
      <c r="HC930" s="91"/>
      <c r="HD930" s="91"/>
      <c r="HE930" s="91"/>
      <c r="HF930" s="91"/>
      <c r="HG930" s="91"/>
      <c r="HH930" s="91"/>
      <c r="HI930" s="91"/>
      <c r="HJ930" s="91"/>
      <c r="HK930" s="91"/>
      <c r="HL930" s="91"/>
      <c r="HM930" s="91"/>
      <c r="HN930" s="91"/>
      <c r="HO930" s="91"/>
      <c r="HP930" s="91"/>
      <c r="HQ930" s="91"/>
      <c r="HR930" s="91"/>
      <c r="HS930" s="91"/>
      <c r="HT930" s="91"/>
      <c r="HU930" s="91"/>
      <c r="HV930" s="91"/>
      <c r="HW930" s="91"/>
      <c r="HX930" s="91"/>
      <c r="HY930" s="91"/>
      <c r="HZ930" s="91"/>
      <c r="IA930" s="91"/>
      <c r="IB930" s="91"/>
      <c r="IC930" s="91"/>
      <c r="ID930" s="91"/>
      <c r="IE930" s="91"/>
    </row>
    <row r="931" spans="2:239" ht="15" x14ac:dyDescent="0.2">
      <c r="B931" s="91"/>
      <c r="C931" s="91"/>
      <c r="D931" s="91"/>
      <c r="E931" s="227"/>
      <c r="F931" s="91"/>
      <c r="G931" s="91"/>
      <c r="H931" s="91"/>
      <c r="I931" s="91"/>
      <c r="J931" s="91"/>
      <c r="K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c r="HV931" s="91"/>
      <c r="HW931" s="91"/>
      <c r="HX931" s="91"/>
      <c r="HY931" s="91"/>
      <c r="HZ931" s="91"/>
      <c r="IA931" s="91"/>
      <c r="IB931" s="91"/>
      <c r="IC931" s="91"/>
      <c r="ID931" s="91"/>
      <c r="IE931" s="91"/>
    </row>
    <row r="932" spans="2:239" ht="15" x14ac:dyDescent="0.2">
      <c r="B932" s="91"/>
      <c r="C932" s="91"/>
      <c r="D932" s="91"/>
      <c r="E932" s="227"/>
      <c r="F932" s="91"/>
      <c r="G932" s="91"/>
      <c r="H932" s="91"/>
      <c r="I932" s="91"/>
      <c r="J932" s="91"/>
      <c r="K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c r="GU932" s="91"/>
      <c r="GV932" s="91"/>
      <c r="GW932" s="91"/>
      <c r="GX932" s="91"/>
      <c r="GY932" s="91"/>
      <c r="GZ932" s="91"/>
      <c r="HA932" s="91"/>
      <c r="HB932" s="91"/>
      <c r="HC932" s="91"/>
      <c r="HD932" s="91"/>
      <c r="HE932" s="91"/>
      <c r="HF932" s="91"/>
      <c r="HG932" s="91"/>
      <c r="HH932" s="91"/>
      <c r="HI932" s="91"/>
      <c r="HJ932" s="91"/>
      <c r="HK932" s="91"/>
      <c r="HL932" s="91"/>
      <c r="HM932" s="91"/>
      <c r="HN932" s="91"/>
      <c r="HO932" s="91"/>
      <c r="HP932" s="91"/>
      <c r="HQ932" s="91"/>
      <c r="HR932" s="91"/>
      <c r="HS932" s="91"/>
      <c r="HT932" s="91"/>
      <c r="HU932" s="91"/>
      <c r="HV932" s="91"/>
      <c r="HW932" s="91"/>
      <c r="HX932" s="91"/>
      <c r="HY932" s="91"/>
      <c r="HZ932" s="91"/>
      <c r="IA932" s="91"/>
      <c r="IB932" s="91"/>
      <c r="IC932" s="91"/>
      <c r="ID932" s="91"/>
      <c r="IE932" s="91"/>
    </row>
    <row r="933" spans="2:239" ht="15" x14ac:dyDescent="0.2">
      <c r="B933" s="91"/>
      <c r="C933" s="91"/>
      <c r="D933" s="91"/>
      <c r="E933" s="227"/>
      <c r="F933" s="91"/>
      <c r="G933" s="91"/>
      <c r="H933" s="91"/>
      <c r="I933" s="91"/>
      <c r="J933" s="91"/>
      <c r="K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c r="HV933" s="91"/>
      <c r="HW933" s="91"/>
      <c r="HX933" s="91"/>
      <c r="HY933" s="91"/>
      <c r="HZ933" s="91"/>
      <c r="IA933" s="91"/>
      <c r="IB933" s="91"/>
      <c r="IC933" s="91"/>
      <c r="ID933" s="91"/>
      <c r="IE933" s="91"/>
    </row>
    <row r="934" spans="2:239" ht="15" x14ac:dyDescent="0.2">
      <c r="B934" s="91"/>
      <c r="C934" s="91"/>
      <c r="D934" s="91"/>
      <c r="E934" s="227"/>
      <c r="F934" s="91"/>
      <c r="G934" s="91"/>
      <c r="H934" s="91"/>
      <c r="I934" s="91"/>
      <c r="J934" s="91"/>
      <c r="K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c r="GU934" s="91"/>
      <c r="GV934" s="91"/>
      <c r="GW934" s="91"/>
      <c r="GX934" s="91"/>
      <c r="GY934" s="91"/>
      <c r="GZ934" s="91"/>
      <c r="HA934" s="91"/>
      <c r="HB934" s="91"/>
      <c r="HC934" s="91"/>
      <c r="HD934" s="91"/>
      <c r="HE934" s="91"/>
      <c r="HF934" s="91"/>
      <c r="HG934" s="91"/>
      <c r="HH934" s="91"/>
      <c r="HI934" s="91"/>
      <c r="HJ934" s="91"/>
      <c r="HK934" s="91"/>
      <c r="HL934" s="91"/>
      <c r="HM934" s="91"/>
      <c r="HN934" s="91"/>
      <c r="HO934" s="91"/>
      <c r="HP934" s="91"/>
      <c r="HQ934" s="91"/>
      <c r="HR934" s="91"/>
      <c r="HS934" s="91"/>
      <c r="HT934" s="91"/>
      <c r="HU934" s="91"/>
      <c r="HV934" s="91"/>
      <c r="HW934" s="91"/>
      <c r="HX934" s="91"/>
      <c r="HY934" s="91"/>
      <c r="HZ934" s="91"/>
      <c r="IA934" s="91"/>
      <c r="IB934" s="91"/>
      <c r="IC934" s="91"/>
      <c r="ID934" s="91"/>
      <c r="IE934" s="91"/>
    </row>
    <row r="935" spans="2:239" ht="15" x14ac:dyDescent="0.2">
      <c r="B935" s="91"/>
      <c r="C935" s="91"/>
      <c r="D935" s="91"/>
      <c r="E935" s="227"/>
      <c r="F935" s="91"/>
      <c r="G935" s="91"/>
      <c r="H935" s="91"/>
      <c r="I935" s="91"/>
      <c r="J935" s="91"/>
      <c r="K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c r="HV935" s="91"/>
      <c r="HW935" s="91"/>
      <c r="HX935" s="91"/>
      <c r="HY935" s="91"/>
      <c r="HZ935" s="91"/>
      <c r="IA935" s="91"/>
      <c r="IB935" s="91"/>
      <c r="IC935" s="91"/>
      <c r="ID935" s="91"/>
      <c r="IE935" s="91"/>
    </row>
    <row r="936" spans="2:239" ht="15" x14ac:dyDescent="0.2">
      <c r="B936" s="91"/>
      <c r="C936" s="91"/>
      <c r="D936" s="91"/>
      <c r="E936" s="227"/>
      <c r="F936" s="91"/>
      <c r="G936" s="91"/>
      <c r="H936" s="91"/>
      <c r="I936" s="91"/>
      <c r="J936" s="91"/>
      <c r="K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c r="GU936" s="91"/>
      <c r="GV936" s="91"/>
      <c r="GW936" s="91"/>
      <c r="GX936" s="91"/>
      <c r="GY936" s="91"/>
      <c r="GZ936" s="91"/>
      <c r="HA936" s="91"/>
      <c r="HB936" s="91"/>
      <c r="HC936" s="91"/>
      <c r="HD936" s="91"/>
      <c r="HE936" s="91"/>
      <c r="HF936" s="91"/>
      <c r="HG936" s="91"/>
      <c r="HH936" s="91"/>
      <c r="HI936" s="91"/>
      <c r="HJ936" s="91"/>
      <c r="HK936" s="91"/>
      <c r="HL936" s="91"/>
      <c r="HM936" s="91"/>
      <c r="HN936" s="91"/>
      <c r="HO936" s="91"/>
      <c r="HP936" s="91"/>
      <c r="HQ936" s="91"/>
      <c r="HR936" s="91"/>
      <c r="HS936" s="91"/>
      <c r="HT936" s="91"/>
      <c r="HU936" s="91"/>
      <c r="HV936" s="91"/>
      <c r="HW936" s="91"/>
      <c r="HX936" s="91"/>
      <c r="HY936" s="91"/>
      <c r="HZ936" s="91"/>
      <c r="IA936" s="91"/>
      <c r="IB936" s="91"/>
      <c r="IC936" s="91"/>
      <c r="ID936" s="91"/>
      <c r="IE936" s="91"/>
    </row>
    <row r="937" spans="2:239" ht="15" x14ac:dyDescent="0.2">
      <c r="B937" s="91"/>
      <c r="C937" s="91"/>
      <c r="D937" s="91"/>
      <c r="E937" s="227"/>
      <c r="F937" s="91"/>
      <c r="G937" s="91"/>
      <c r="H937" s="91"/>
      <c r="I937" s="91"/>
      <c r="J937" s="91"/>
      <c r="K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c r="HV937" s="91"/>
      <c r="HW937" s="91"/>
      <c r="HX937" s="91"/>
      <c r="HY937" s="91"/>
      <c r="HZ937" s="91"/>
      <c r="IA937" s="91"/>
      <c r="IB937" s="91"/>
      <c r="IC937" s="91"/>
      <c r="ID937" s="91"/>
      <c r="IE937" s="91"/>
    </row>
    <row r="938" spans="2:239" ht="15" x14ac:dyDescent="0.2">
      <c r="B938" s="91"/>
      <c r="C938" s="91"/>
      <c r="D938" s="91"/>
      <c r="E938" s="227"/>
      <c r="F938" s="91"/>
      <c r="G938" s="91"/>
      <c r="H938" s="91"/>
      <c r="I938" s="91"/>
      <c r="J938" s="91"/>
      <c r="K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c r="HV938" s="91"/>
      <c r="HW938" s="91"/>
      <c r="HX938" s="91"/>
      <c r="HY938" s="91"/>
      <c r="HZ938" s="91"/>
      <c r="IA938" s="91"/>
      <c r="IB938" s="91"/>
      <c r="IC938" s="91"/>
      <c r="ID938" s="91"/>
      <c r="IE938" s="91"/>
    </row>
    <row r="939" spans="2:239" ht="15" x14ac:dyDescent="0.2">
      <c r="B939" s="91"/>
      <c r="C939" s="91"/>
      <c r="D939" s="91"/>
      <c r="E939" s="227"/>
      <c r="F939" s="91"/>
      <c r="G939" s="91"/>
      <c r="H939" s="91"/>
      <c r="I939" s="91"/>
      <c r="J939" s="91"/>
      <c r="K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c r="GU939" s="91"/>
      <c r="GV939" s="91"/>
      <c r="GW939" s="91"/>
      <c r="GX939" s="91"/>
      <c r="GY939" s="91"/>
      <c r="GZ939" s="91"/>
      <c r="HA939" s="91"/>
      <c r="HB939" s="91"/>
      <c r="HC939" s="91"/>
      <c r="HD939" s="91"/>
      <c r="HE939" s="91"/>
      <c r="HF939" s="91"/>
      <c r="HG939" s="91"/>
      <c r="HH939" s="91"/>
      <c r="HI939" s="91"/>
      <c r="HJ939" s="91"/>
      <c r="HK939" s="91"/>
      <c r="HL939" s="91"/>
      <c r="HM939" s="91"/>
      <c r="HN939" s="91"/>
      <c r="HO939" s="91"/>
      <c r="HP939" s="91"/>
      <c r="HQ939" s="91"/>
      <c r="HR939" s="91"/>
      <c r="HS939" s="91"/>
      <c r="HT939" s="91"/>
      <c r="HU939" s="91"/>
      <c r="HV939" s="91"/>
      <c r="HW939" s="91"/>
      <c r="HX939" s="91"/>
      <c r="HY939" s="91"/>
      <c r="HZ939" s="91"/>
      <c r="IA939" s="91"/>
      <c r="IB939" s="91"/>
      <c r="IC939" s="91"/>
      <c r="ID939" s="91"/>
      <c r="IE939" s="91"/>
    </row>
    <row r="940" spans="2:239" ht="15" x14ac:dyDescent="0.2">
      <c r="B940" s="91"/>
      <c r="C940" s="91"/>
      <c r="D940" s="91"/>
      <c r="E940" s="227"/>
      <c r="F940" s="91"/>
      <c r="G940" s="91"/>
      <c r="H940" s="91"/>
      <c r="I940" s="91"/>
      <c r="J940" s="91"/>
      <c r="K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c r="HV940" s="91"/>
      <c r="HW940" s="91"/>
      <c r="HX940" s="91"/>
      <c r="HY940" s="91"/>
      <c r="HZ940" s="91"/>
      <c r="IA940" s="91"/>
      <c r="IB940" s="91"/>
      <c r="IC940" s="91"/>
      <c r="ID940" s="91"/>
      <c r="IE940" s="91"/>
    </row>
    <row r="941" spans="2:239" ht="15" x14ac:dyDescent="0.2">
      <c r="B941" s="91"/>
      <c r="C941" s="91"/>
      <c r="D941" s="91"/>
      <c r="E941" s="227"/>
      <c r="F941" s="91"/>
      <c r="G941" s="91"/>
      <c r="H941" s="91"/>
      <c r="I941" s="91"/>
      <c r="J941" s="91"/>
      <c r="K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c r="GU941" s="91"/>
      <c r="GV941" s="91"/>
      <c r="GW941" s="91"/>
      <c r="GX941" s="91"/>
      <c r="GY941" s="91"/>
      <c r="GZ941" s="91"/>
      <c r="HA941" s="91"/>
      <c r="HB941" s="91"/>
      <c r="HC941" s="91"/>
      <c r="HD941" s="91"/>
      <c r="HE941" s="91"/>
      <c r="HF941" s="91"/>
      <c r="HG941" s="91"/>
      <c r="HH941" s="91"/>
      <c r="HI941" s="91"/>
      <c r="HJ941" s="91"/>
      <c r="HK941" s="91"/>
      <c r="HL941" s="91"/>
      <c r="HM941" s="91"/>
      <c r="HN941" s="91"/>
      <c r="HO941" s="91"/>
      <c r="HP941" s="91"/>
      <c r="HQ941" s="91"/>
      <c r="HR941" s="91"/>
      <c r="HS941" s="91"/>
      <c r="HT941" s="91"/>
      <c r="HU941" s="91"/>
      <c r="HV941" s="91"/>
      <c r="HW941" s="91"/>
      <c r="HX941" s="91"/>
      <c r="HY941" s="91"/>
      <c r="HZ941" s="91"/>
      <c r="IA941" s="91"/>
      <c r="IB941" s="91"/>
      <c r="IC941" s="91"/>
      <c r="ID941" s="91"/>
      <c r="IE941" s="91"/>
    </row>
    <row r="942" spans="2:239" ht="15" x14ac:dyDescent="0.2">
      <c r="B942" s="91"/>
      <c r="C942" s="91"/>
      <c r="D942" s="91"/>
      <c r="E942" s="227"/>
      <c r="F942" s="91"/>
      <c r="G942" s="91"/>
      <c r="H942" s="91"/>
      <c r="I942" s="91"/>
      <c r="J942" s="91"/>
      <c r="K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c r="GU942" s="91"/>
      <c r="GV942" s="91"/>
      <c r="GW942" s="91"/>
      <c r="GX942" s="91"/>
      <c r="GY942" s="91"/>
      <c r="GZ942" s="91"/>
      <c r="HA942" s="91"/>
      <c r="HB942" s="91"/>
      <c r="HC942" s="91"/>
      <c r="HD942" s="91"/>
      <c r="HE942" s="91"/>
      <c r="HF942" s="91"/>
      <c r="HG942" s="91"/>
      <c r="HH942" s="91"/>
      <c r="HI942" s="91"/>
      <c r="HJ942" s="91"/>
      <c r="HK942" s="91"/>
      <c r="HL942" s="91"/>
      <c r="HM942" s="91"/>
      <c r="HN942" s="91"/>
      <c r="HO942" s="91"/>
      <c r="HP942" s="91"/>
      <c r="HQ942" s="91"/>
      <c r="HR942" s="91"/>
      <c r="HS942" s="91"/>
      <c r="HT942" s="91"/>
      <c r="HU942" s="91"/>
      <c r="HV942" s="91"/>
      <c r="HW942" s="91"/>
      <c r="HX942" s="91"/>
      <c r="HY942" s="91"/>
      <c r="HZ942" s="91"/>
      <c r="IA942" s="91"/>
      <c r="IB942" s="91"/>
      <c r="IC942" s="91"/>
      <c r="ID942" s="91"/>
      <c r="IE942" s="91"/>
    </row>
    <row r="943" spans="2:239" ht="15" x14ac:dyDescent="0.2">
      <c r="B943" s="91"/>
      <c r="C943" s="91"/>
      <c r="D943" s="91"/>
      <c r="E943" s="227"/>
      <c r="F943" s="91"/>
      <c r="G943" s="91"/>
      <c r="H943" s="91"/>
      <c r="I943" s="91"/>
      <c r="J943" s="91"/>
      <c r="K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c r="HV943" s="91"/>
      <c r="HW943" s="91"/>
      <c r="HX943" s="91"/>
      <c r="HY943" s="91"/>
      <c r="HZ943" s="91"/>
      <c r="IA943" s="91"/>
      <c r="IB943" s="91"/>
      <c r="IC943" s="91"/>
      <c r="ID943" s="91"/>
      <c r="IE943" s="91"/>
    </row>
    <row r="944" spans="2:239" ht="15" x14ac:dyDescent="0.2">
      <c r="B944" s="91"/>
      <c r="C944" s="91"/>
      <c r="D944" s="91"/>
      <c r="E944" s="227"/>
      <c r="F944" s="91"/>
      <c r="G944" s="91"/>
      <c r="H944" s="91"/>
      <c r="I944" s="91"/>
      <c r="J944" s="91"/>
      <c r="K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c r="HV944" s="91"/>
      <c r="HW944" s="91"/>
      <c r="HX944" s="91"/>
      <c r="HY944" s="91"/>
      <c r="HZ944" s="91"/>
      <c r="IA944" s="91"/>
      <c r="IB944" s="91"/>
      <c r="IC944" s="91"/>
      <c r="ID944" s="91"/>
      <c r="IE944" s="91"/>
    </row>
    <row r="945" spans="2:239" ht="15" x14ac:dyDescent="0.2">
      <c r="B945" s="91"/>
      <c r="C945" s="91"/>
      <c r="D945" s="91"/>
      <c r="E945" s="227"/>
      <c r="F945" s="91"/>
      <c r="G945" s="91"/>
      <c r="H945" s="91"/>
      <c r="I945" s="91"/>
      <c r="J945" s="91"/>
      <c r="K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c r="HV945" s="91"/>
      <c r="HW945" s="91"/>
      <c r="HX945" s="91"/>
      <c r="HY945" s="91"/>
      <c r="HZ945" s="91"/>
      <c r="IA945" s="91"/>
      <c r="IB945" s="91"/>
      <c r="IC945" s="91"/>
      <c r="ID945" s="91"/>
      <c r="IE945" s="91"/>
    </row>
    <row r="946" spans="2:239" ht="15" x14ac:dyDescent="0.2">
      <c r="B946" s="91"/>
      <c r="C946" s="91"/>
      <c r="D946" s="91"/>
      <c r="E946" s="227"/>
      <c r="F946" s="91"/>
      <c r="G946" s="91"/>
      <c r="H946" s="91"/>
      <c r="I946" s="91"/>
      <c r="J946" s="91"/>
      <c r="K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c r="GU946" s="91"/>
      <c r="GV946" s="91"/>
      <c r="GW946" s="91"/>
      <c r="GX946" s="91"/>
      <c r="GY946" s="91"/>
      <c r="GZ946" s="91"/>
      <c r="HA946" s="91"/>
      <c r="HB946" s="91"/>
      <c r="HC946" s="91"/>
      <c r="HD946" s="91"/>
      <c r="HE946" s="91"/>
      <c r="HF946" s="91"/>
      <c r="HG946" s="91"/>
      <c r="HH946" s="91"/>
      <c r="HI946" s="91"/>
      <c r="HJ946" s="91"/>
      <c r="HK946" s="91"/>
      <c r="HL946" s="91"/>
      <c r="HM946" s="91"/>
      <c r="HN946" s="91"/>
      <c r="HO946" s="91"/>
      <c r="HP946" s="91"/>
      <c r="HQ946" s="91"/>
      <c r="HR946" s="91"/>
      <c r="HS946" s="91"/>
      <c r="HT946" s="91"/>
      <c r="HU946" s="91"/>
      <c r="HV946" s="91"/>
      <c r="HW946" s="91"/>
      <c r="HX946" s="91"/>
      <c r="HY946" s="91"/>
      <c r="HZ946" s="91"/>
      <c r="IA946" s="91"/>
      <c r="IB946" s="91"/>
      <c r="IC946" s="91"/>
      <c r="ID946" s="91"/>
      <c r="IE946" s="91"/>
    </row>
    <row r="947" spans="2:239" ht="15" x14ac:dyDescent="0.2">
      <c r="B947" s="91"/>
      <c r="C947" s="91"/>
      <c r="D947" s="91"/>
      <c r="E947" s="227"/>
      <c r="F947" s="91"/>
      <c r="G947" s="91"/>
      <c r="H947" s="91"/>
      <c r="I947" s="91"/>
      <c r="J947" s="91"/>
      <c r="K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c r="HV947" s="91"/>
      <c r="HW947" s="91"/>
      <c r="HX947" s="91"/>
      <c r="HY947" s="91"/>
      <c r="HZ947" s="91"/>
      <c r="IA947" s="91"/>
      <c r="IB947" s="91"/>
      <c r="IC947" s="91"/>
      <c r="ID947" s="91"/>
      <c r="IE947" s="91"/>
    </row>
    <row r="948" spans="2:239" ht="15" x14ac:dyDescent="0.2">
      <c r="B948" s="91"/>
      <c r="C948" s="91"/>
      <c r="D948" s="91"/>
      <c r="E948" s="227"/>
      <c r="F948" s="91"/>
      <c r="G948" s="91"/>
      <c r="H948" s="91"/>
      <c r="I948" s="91"/>
      <c r="J948" s="91"/>
      <c r="K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c r="GU948" s="91"/>
      <c r="GV948" s="91"/>
      <c r="GW948" s="91"/>
      <c r="GX948" s="91"/>
      <c r="GY948" s="91"/>
      <c r="GZ948" s="91"/>
      <c r="HA948" s="91"/>
      <c r="HB948" s="91"/>
      <c r="HC948" s="91"/>
      <c r="HD948" s="91"/>
      <c r="HE948" s="91"/>
      <c r="HF948" s="91"/>
      <c r="HG948" s="91"/>
      <c r="HH948" s="91"/>
      <c r="HI948" s="91"/>
      <c r="HJ948" s="91"/>
      <c r="HK948" s="91"/>
      <c r="HL948" s="91"/>
      <c r="HM948" s="91"/>
      <c r="HN948" s="91"/>
      <c r="HO948" s="91"/>
      <c r="HP948" s="91"/>
      <c r="HQ948" s="91"/>
      <c r="HR948" s="91"/>
      <c r="HS948" s="91"/>
      <c r="HT948" s="91"/>
      <c r="HU948" s="91"/>
      <c r="HV948" s="91"/>
      <c r="HW948" s="91"/>
      <c r="HX948" s="91"/>
      <c r="HY948" s="91"/>
      <c r="HZ948" s="91"/>
      <c r="IA948" s="91"/>
      <c r="IB948" s="91"/>
      <c r="IC948" s="91"/>
      <c r="ID948" s="91"/>
      <c r="IE948" s="91"/>
    </row>
    <row r="949" spans="2:239" ht="15" x14ac:dyDescent="0.2">
      <c r="B949" s="91"/>
      <c r="C949" s="91"/>
      <c r="D949" s="91"/>
      <c r="E949" s="227"/>
      <c r="F949" s="91"/>
      <c r="G949" s="91"/>
      <c r="H949" s="91"/>
      <c r="I949" s="91"/>
      <c r="J949" s="91"/>
      <c r="K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c r="HV949" s="91"/>
      <c r="HW949" s="91"/>
      <c r="HX949" s="91"/>
      <c r="HY949" s="91"/>
      <c r="HZ949" s="91"/>
      <c r="IA949" s="91"/>
      <c r="IB949" s="91"/>
      <c r="IC949" s="91"/>
      <c r="ID949" s="91"/>
      <c r="IE949" s="91"/>
    </row>
    <row r="950" spans="2:239" ht="15" x14ac:dyDescent="0.2">
      <c r="B950" s="91"/>
      <c r="C950" s="91"/>
      <c r="D950" s="91"/>
      <c r="E950" s="227"/>
      <c r="F950" s="91"/>
      <c r="G950" s="91"/>
      <c r="H950" s="91"/>
      <c r="I950" s="91"/>
      <c r="J950" s="91"/>
      <c r="K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c r="GU950" s="91"/>
      <c r="GV950" s="91"/>
      <c r="GW950" s="91"/>
      <c r="GX950" s="91"/>
      <c r="GY950" s="91"/>
      <c r="GZ950" s="91"/>
      <c r="HA950" s="91"/>
      <c r="HB950" s="91"/>
      <c r="HC950" s="91"/>
      <c r="HD950" s="91"/>
      <c r="HE950" s="91"/>
      <c r="HF950" s="91"/>
      <c r="HG950" s="91"/>
      <c r="HH950" s="91"/>
      <c r="HI950" s="91"/>
      <c r="HJ950" s="91"/>
      <c r="HK950" s="91"/>
      <c r="HL950" s="91"/>
      <c r="HM950" s="91"/>
      <c r="HN950" s="91"/>
      <c r="HO950" s="91"/>
      <c r="HP950" s="91"/>
      <c r="HQ950" s="91"/>
      <c r="HR950" s="91"/>
      <c r="HS950" s="91"/>
      <c r="HT950" s="91"/>
      <c r="HU950" s="91"/>
      <c r="HV950" s="91"/>
      <c r="HW950" s="91"/>
      <c r="HX950" s="91"/>
      <c r="HY950" s="91"/>
      <c r="HZ950" s="91"/>
      <c r="IA950" s="91"/>
      <c r="IB950" s="91"/>
      <c r="IC950" s="91"/>
      <c r="ID950" s="91"/>
      <c r="IE950" s="91"/>
    </row>
    <row r="951" spans="2:239" ht="15" x14ac:dyDescent="0.2">
      <c r="B951" s="91"/>
      <c r="C951" s="91"/>
      <c r="D951" s="91"/>
      <c r="E951" s="227"/>
      <c r="F951" s="91"/>
      <c r="G951" s="91"/>
      <c r="H951" s="91"/>
      <c r="I951" s="91"/>
      <c r="J951" s="91"/>
      <c r="K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c r="HV951" s="91"/>
      <c r="HW951" s="91"/>
      <c r="HX951" s="91"/>
      <c r="HY951" s="91"/>
      <c r="HZ951" s="91"/>
      <c r="IA951" s="91"/>
      <c r="IB951" s="91"/>
      <c r="IC951" s="91"/>
      <c r="ID951" s="91"/>
      <c r="IE951" s="91"/>
    </row>
    <row r="952" spans="2:239" ht="15" x14ac:dyDescent="0.2">
      <c r="B952" s="91"/>
      <c r="C952" s="91"/>
      <c r="D952" s="91"/>
      <c r="E952" s="227"/>
      <c r="F952" s="91"/>
      <c r="G952" s="91"/>
      <c r="H952" s="91"/>
      <c r="I952" s="91"/>
      <c r="J952" s="91"/>
      <c r="K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c r="HV952" s="91"/>
      <c r="HW952" s="91"/>
      <c r="HX952" s="91"/>
      <c r="HY952" s="91"/>
      <c r="HZ952" s="91"/>
      <c r="IA952" s="91"/>
      <c r="IB952" s="91"/>
      <c r="IC952" s="91"/>
      <c r="ID952" s="91"/>
      <c r="IE952" s="91"/>
    </row>
    <row r="953" spans="2:239" ht="15" x14ac:dyDescent="0.2">
      <c r="B953" s="91"/>
      <c r="C953" s="91"/>
      <c r="D953" s="91"/>
      <c r="E953" s="227"/>
      <c r="F953" s="91"/>
      <c r="G953" s="91"/>
      <c r="H953" s="91"/>
      <c r="I953" s="91"/>
      <c r="J953" s="91"/>
      <c r="K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c r="GU953" s="91"/>
      <c r="GV953" s="91"/>
      <c r="GW953" s="91"/>
      <c r="GX953" s="91"/>
      <c r="GY953" s="91"/>
      <c r="GZ953" s="91"/>
      <c r="HA953" s="91"/>
      <c r="HB953" s="91"/>
      <c r="HC953" s="91"/>
      <c r="HD953" s="91"/>
      <c r="HE953" s="91"/>
      <c r="HF953" s="91"/>
      <c r="HG953" s="91"/>
      <c r="HH953" s="91"/>
      <c r="HI953" s="91"/>
      <c r="HJ953" s="91"/>
      <c r="HK953" s="91"/>
      <c r="HL953" s="91"/>
      <c r="HM953" s="91"/>
      <c r="HN953" s="91"/>
      <c r="HO953" s="91"/>
      <c r="HP953" s="91"/>
      <c r="HQ953" s="91"/>
      <c r="HR953" s="91"/>
      <c r="HS953" s="91"/>
      <c r="HT953" s="91"/>
      <c r="HU953" s="91"/>
      <c r="HV953" s="91"/>
      <c r="HW953" s="91"/>
      <c r="HX953" s="91"/>
      <c r="HY953" s="91"/>
      <c r="HZ953" s="91"/>
      <c r="IA953" s="91"/>
      <c r="IB953" s="91"/>
      <c r="IC953" s="91"/>
      <c r="ID953" s="91"/>
      <c r="IE953" s="91"/>
    </row>
    <row r="954" spans="2:239" ht="15" x14ac:dyDescent="0.2">
      <c r="B954" s="91"/>
      <c r="C954" s="91"/>
      <c r="D954" s="91"/>
      <c r="E954" s="227"/>
      <c r="F954" s="91"/>
      <c r="G954" s="91"/>
      <c r="H954" s="91"/>
      <c r="I954" s="91"/>
      <c r="J954" s="91"/>
      <c r="K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c r="GU954" s="91"/>
      <c r="GV954" s="91"/>
      <c r="GW954" s="91"/>
      <c r="GX954" s="91"/>
      <c r="GY954" s="91"/>
      <c r="GZ954" s="91"/>
      <c r="HA954" s="91"/>
      <c r="HB954" s="91"/>
      <c r="HC954" s="91"/>
      <c r="HD954" s="91"/>
      <c r="HE954" s="91"/>
      <c r="HF954" s="91"/>
      <c r="HG954" s="91"/>
      <c r="HH954" s="91"/>
      <c r="HI954" s="91"/>
      <c r="HJ954" s="91"/>
      <c r="HK954" s="91"/>
      <c r="HL954" s="91"/>
      <c r="HM954" s="91"/>
      <c r="HN954" s="91"/>
      <c r="HO954" s="91"/>
      <c r="HP954" s="91"/>
      <c r="HQ954" s="91"/>
      <c r="HR954" s="91"/>
      <c r="HS954" s="91"/>
      <c r="HT954" s="91"/>
      <c r="HU954" s="91"/>
      <c r="HV954" s="91"/>
      <c r="HW954" s="91"/>
      <c r="HX954" s="91"/>
      <c r="HY954" s="91"/>
      <c r="HZ954" s="91"/>
      <c r="IA954" s="91"/>
      <c r="IB954" s="91"/>
      <c r="IC954" s="91"/>
      <c r="ID954" s="91"/>
      <c r="IE954" s="91"/>
    </row>
    <row r="955" spans="2:239" ht="15" x14ac:dyDescent="0.2">
      <c r="B955" s="91"/>
      <c r="C955" s="91"/>
      <c r="D955" s="91"/>
      <c r="E955" s="227"/>
      <c r="F955" s="91"/>
      <c r="G955" s="91"/>
      <c r="H955" s="91"/>
      <c r="I955" s="91"/>
      <c r="J955" s="91"/>
      <c r="K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c r="HV955" s="91"/>
      <c r="HW955" s="91"/>
      <c r="HX955" s="91"/>
      <c r="HY955" s="91"/>
      <c r="HZ955" s="91"/>
      <c r="IA955" s="91"/>
      <c r="IB955" s="91"/>
      <c r="IC955" s="91"/>
      <c r="ID955" s="91"/>
      <c r="IE955" s="91"/>
    </row>
    <row r="956" spans="2:239" ht="15" x14ac:dyDescent="0.2">
      <c r="B956" s="91"/>
      <c r="C956" s="91"/>
      <c r="D956" s="91"/>
      <c r="E956" s="227"/>
      <c r="F956" s="91"/>
      <c r="G956" s="91"/>
      <c r="H956" s="91"/>
      <c r="I956" s="91"/>
      <c r="J956" s="91"/>
      <c r="K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c r="HV956" s="91"/>
      <c r="HW956" s="91"/>
      <c r="HX956" s="91"/>
      <c r="HY956" s="91"/>
      <c r="HZ956" s="91"/>
      <c r="IA956" s="91"/>
      <c r="IB956" s="91"/>
      <c r="IC956" s="91"/>
      <c r="ID956" s="91"/>
      <c r="IE956" s="91"/>
    </row>
    <row r="957" spans="2:239" ht="15" x14ac:dyDescent="0.2">
      <c r="B957" s="91"/>
      <c r="C957" s="91"/>
      <c r="D957" s="91"/>
      <c r="E957" s="227"/>
      <c r="F957" s="91"/>
      <c r="G957" s="91"/>
      <c r="H957" s="91"/>
      <c r="I957" s="91"/>
      <c r="J957" s="91"/>
      <c r="K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c r="HV957" s="91"/>
      <c r="HW957" s="91"/>
      <c r="HX957" s="91"/>
      <c r="HY957" s="91"/>
      <c r="HZ957" s="91"/>
      <c r="IA957" s="91"/>
      <c r="IB957" s="91"/>
      <c r="IC957" s="91"/>
      <c r="ID957" s="91"/>
      <c r="IE957" s="91"/>
    </row>
    <row r="958" spans="2:239" ht="15" x14ac:dyDescent="0.2">
      <c r="B958" s="91"/>
      <c r="C958" s="91"/>
      <c r="D958" s="91"/>
      <c r="E958" s="227"/>
      <c r="F958" s="91"/>
      <c r="G958" s="91"/>
      <c r="H958" s="91"/>
      <c r="I958" s="91"/>
      <c r="J958" s="91"/>
      <c r="K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c r="GU958" s="91"/>
      <c r="GV958" s="91"/>
      <c r="GW958" s="91"/>
      <c r="GX958" s="91"/>
      <c r="GY958" s="91"/>
      <c r="GZ958" s="91"/>
      <c r="HA958" s="91"/>
      <c r="HB958" s="91"/>
      <c r="HC958" s="91"/>
      <c r="HD958" s="91"/>
      <c r="HE958" s="91"/>
      <c r="HF958" s="91"/>
      <c r="HG958" s="91"/>
      <c r="HH958" s="91"/>
      <c r="HI958" s="91"/>
      <c r="HJ958" s="91"/>
      <c r="HK958" s="91"/>
      <c r="HL958" s="91"/>
      <c r="HM958" s="91"/>
      <c r="HN958" s="91"/>
      <c r="HO958" s="91"/>
      <c r="HP958" s="91"/>
      <c r="HQ958" s="91"/>
      <c r="HR958" s="91"/>
      <c r="HS958" s="91"/>
      <c r="HT958" s="91"/>
      <c r="HU958" s="91"/>
      <c r="HV958" s="91"/>
      <c r="HW958" s="91"/>
      <c r="HX958" s="91"/>
      <c r="HY958" s="91"/>
      <c r="HZ958" s="91"/>
      <c r="IA958" s="91"/>
      <c r="IB958" s="91"/>
      <c r="IC958" s="91"/>
      <c r="ID958" s="91"/>
      <c r="IE958" s="91"/>
    </row>
    <row r="959" spans="2:239" ht="15" x14ac:dyDescent="0.2">
      <c r="B959" s="91"/>
      <c r="C959" s="91"/>
      <c r="D959" s="91"/>
      <c r="E959" s="227"/>
      <c r="F959" s="91"/>
      <c r="G959" s="91"/>
      <c r="H959" s="91"/>
      <c r="I959" s="91"/>
      <c r="J959" s="91"/>
      <c r="K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c r="HV959" s="91"/>
      <c r="HW959" s="91"/>
      <c r="HX959" s="91"/>
      <c r="HY959" s="91"/>
      <c r="HZ959" s="91"/>
      <c r="IA959" s="91"/>
      <c r="IB959" s="91"/>
      <c r="IC959" s="91"/>
      <c r="ID959" s="91"/>
      <c r="IE959" s="91"/>
    </row>
    <row r="960" spans="2:239" ht="15" x14ac:dyDescent="0.2">
      <c r="B960" s="91"/>
      <c r="C960" s="91"/>
      <c r="D960" s="91"/>
      <c r="E960" s="227"/>
      <c r="F960" s="91"/>
      <c r="G960" s="91"/>
      <c r="H960" s="91"/>
      <c r="I960" s="91"/>
      <c r="J960" s="91"/>
      <c r="K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c r="GU960" s="91"/>
      <c r="GV960" s="91"/>
      <c r="GW960" s="91"/>
      <c r="GX960" s="91"/>
      <c r="GY960" s="91"/>
      <c r="GZ960" s="91"/>
      <c r="HA960" s="91"/>
      <c r="HB960" s="91"/>
      <c r="HC960" s="91"/>
      <c r="HD960" s="91"/>
      <c r="HE960" s="91"/>
      <c r="HF960" s="91"/>
      <c r="HG960" s="91"/>
      <c r="HH960" s="91"/>
      <c r="HI960" s="91"/>
      <c r="HJ960" s="91"/>
      <c r="HK960" s="91"/>
      <c r="HL960" s="91"/>
      <c r="HM960" s="91"/>
      <c r="HN960" s="91"/>
      <c r="HO960" s="91"/>
      <c r="HP960" s="91"/>
      <c r="HQ960" s="91"/>
      <c r="HR960" s="91"/>
      <c r="HS960" s="91"/>
      <c r="HT960" s="91"/>
      <c r="HU960" s="91"/>
      <c r="HV960" s="91"/>
      <c r="HW960" s="91"/>
      <c r="HX960" s="91"/>
      <c r="HY960" s="91"/>
      <c r="HZ960" s="91"/>
      <c r="IA960" s="91"/>
      <c r="IB960" s="91"/>
      <c r="IC960" s="91"/>
      <c r="ID960" s="91"/>
      <c r="IE960" s="91"/>
    </row>
    <row r="961" spans="2:239" ht="15" x14ac:dyDescent="0.2">
      <c r="B961" s="91"/>
      <c r="C961" s="91"/>
      <c r="D961" s="91"/>
      <c r="E961" s="227"/>
      <c r="F961" s="91"/>
      <c r="G961" s="91"/>
      <c r="H961" s="91"/>
      <c r="I961" s="91"/>
      <c r="J961" s="91"/>
      <c r="K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c r="GU961" s="91"/>
      <c r="GV961" s="91"/>
      <c r="GW961" s="91"/>
      <c r="GX961" s="91"/>
      <c r="GY961" s="91"/>
      <c r="GZ961" s="91"/>
      <c r="HA961" s="91"/>
      <c r="HB961" s="91"/>
      <c r="HC961" s="91"/>
      <c r="HD961" s="91"/>
      <c r="HE961" s="91"/>
      <c r="HF961" s="91"/>
      <c r="HG961" s="91"/>
      <c r="HH961" s="91"/>
      <c r="HI961" s="91"/>
      <c r="HJ961" s="91"/>
      <c r="HK961" s="91"/>
      <c r="HL961" s="91"/>
      <c r="HM961" s="91"/>
      <c r="HN961" s="91"/>
      <c r="HO961" s="91"/>
      <c r="HP961" s="91"/>
      <c r="HQ961" s="91"/>
      <c r="HR961" s="91"/>
      <c r="HS961" s="91"/>
      <c r="HT961" s="91"/>
      <c r="HU961" s="91"/>
      <c r="HV961" s="91"/>
      <c r="HW961" s="91"/>
      <c r="HX961" s="91"/>
      <c r="HY961" s="91"/>
      <c r="HZ961" s="91"/>
      <c r="IA961" s="91"/>
      <c r="IB961" s="91"/>
      <c r="IC961" s="91"/>
      <c r="ID961" s="91"/>
      <c r="IE961" s="91"/>
    </row>
    <row r="962" spans="2:239" ht="15" x14ac:dyDescent="0.2">
      <c r="B962" s="91"/>
      <c r="C962" s="91"/>
      <c r="D962" s="91"/>
      <c r="E962" s="227"/>
      <c r="F962" s="91"/>
      <c r="G962" s="91"/>
      <c r="H962" s="91"/>
      <c r="I962" s="91"/>
      <c r="J962" s="91"/>
      <c r="K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c r="HV962" s="91"/>
      <c r="HW962" s="91"/>
      <c r="HX962" s="91"/>
      <c r="HY962" s="91"/>
      <c r="HZ962" s="91"/>
      <c r="IA962" s="91"/>
      <c r="IB962" s="91"/>
      <c r="IC962" s="91"/>
      <c r="ID962" s="91"/>
      <c r="IE962" s="91"/>
    </row>
    <row r="963" spans="2:239" ht="15" x14ac:dyDescent="0.2">
      <c r="B963" s="91"/>
      <c r="C963" s="91"/>
      <c r="D963" s="91"/>
      <c r="E963" s="227"/>
      <c r="F963" s="91"/>
      <c r="G963" s="91"/>
      <c r="H963" s="91"/>
      <c r="I963" s="91"/>
      <c r="J963" s="91"/>
      <c r="K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c r="HV963" s="91"/>
      <c r="HW963" s="91"/>
      <c r="HX963" s="91"/>
      <c r="HY963" s="91"/>
      <c r="HZ963" s="91"/>
      <c r="IA963" s="91"/>
      <c r="IB963" s="91"/>
      <c r="IC963" s="91"/>
      <c r="ID963" s="91"/>
      <c r="IE963" s="91"/>
    </row>
    <row r="964" spans="2:239" ht="15" x14ac:dyDescent="0.2">
      <c r="B964" s="91"/>
      <c r="C964" s="91"/>
      <c r="D964" s="91"/>
      <c r="E964" s="227"/>
      <c r="F964" s="91"/>
      <c r="G964" s="91"/>
      <c r="H964" s="91"/>
      <c r="I964" s="91"/>
      <c r="J964" s="91"/>
      <c r="K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c r="HV964" s="91"/>
      <c r="HW964" s="91"/>
      <c r="HX964" s="91"/>
      <c r="HY964" s="91"/>
      <c r="HZ964" s="91"/>
      <c r="IA964" s="91"/>
      <c r="IB964" s="91"/>
      <c r="IC964" s="91"/>
      <c r="ID964" s="91"/>
      <c r="IE964" s="91"/>
    </row>
    <row r="965" spans="2:239" ht="15" x14ac:dyDescent="0.2">
      <c r="B965" s="91"/>
      <c r="C965" s="91"/>
      <c r="D965" s="91"/>
      <c r="E965" s="227"/>
      <c r="F965" s="91"/>
      <c r="G965" s="91"/>
      <c r="H965" s="91"/>
      <c r="I965" s="91"/>
      <c r="J965" s="91"/>
      <c r="K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c r="GU965" s="91"/>
      <c r="GV965" s="91"/>
      <c r="GW965" s="91"/>
      <c r="GX965" s="91"/>
      <c r="GY965" s="91"/>
      <c r="GZ965" s="91"/>
      <c r="HA965" s="91"/>
      <c r="HB965" s="91"/>
      <c r="HC965" s="91"/>
      <c r="HD965" s="91"/>
      <c r="HE965" s="91"/>
      <c r="HF965" s="91"/>
      <c r="HG965" s="91"/>
      <c r="HH965" s="91"/>
      <c r="HI965" s="91"/>
      <c r="HJ965" s="91"/>
      <c r="HK965" s="91"/>
      <c r="HL965" s="91"/>
      <c r="HM965" s="91"/>
      <c r="HN965" s="91"/>
      <c r="HO965" s="91"/>
      <c r="HP965" s="91"/>
      <c r="HQ965" s="91"/>
      <c r="HR965" s="91"/>
      <c r="HS965" s="91"/>
      <c r="HT965" s="91"/>
      <c r="HU965" s="91"/>
      <c r="HV965" s="91"/>
      <c r="HW965" s="91"/>
      <c r="HX965" s="91"/>
      <c r="HY965" s="91"/>
      <c r="HZ965" s="91"/>
      <c r="IA965" s="91"/>
      <c r="IB965" s="91"/>
      <c r="IC965" s="91"/>
      <c r="ID965" s="91"/>
      <c r="IE965" s="91"/>
    </row>
    <row r="966" spans="2:239" ht="15" x14ac:dyDescent="0.2">
      <c r="B966" s="91"/>
      <c r="C966" s="91"/>
      <c r="D966" s="91"/>
      <c r="E966" s="227"/>
      <c r="F966" s="91"/>
      <c r="G966" s="91"/>
      <c r="H966" s="91"/>
      <c r="I966" s="91"/>
      <c r="J966" s="91"/>
      <c r="K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c r="HV966" s="91"/>
      <c r="HW966" s="91"/>
      <c r="HX966" s="91"/>
      <c r="HY966" s="91"/>
      <c r="HZ966" s="91"/>
      <c r="IA966" s="91"/>
      <c r="IB966" s="91"/>
      <c r="IC966" s="91"/>
      <c r="ID966" s="91"/>
      <c r="IE966" s="91"/>
    </row>
    <row r="967" spans="2:239" ht="15" x14ac:dyDescent="0.2">
      <c r="B967" s="91"/>
      <c r="C967" s="91"/>
      <c r="D967" s="91"/>
      <c r="E967" s="227"/>
      <c r="F967" s="91"/>
      <c r="G967" s="91"/>
      <c r="H967" s="91"/>
      <c r="I967" s="91"/>
      <c r="J967" s="91"/>
      <c r="K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c r="GU967" s="91"/>
      <c r="GV967" s="91"/>
      <c r="GW967" s="91"/>
      <c r="GX967" s="91"/>
      <c r="GY967" s="91"/>
      <c r="GZ967" s="91"/>
      <c r="HA967" s="91"/>
      <c r="HB967" s="91"/>
      <c r="HC967" s="91"/>
      <c r="HD967" s="91"/>
      <c r="HE967" s="91"/>
      <c r="HF967" s="91"/>
      <c r="HG967" s="91"/>
      <c r="HH967" s="91"/>
      <c r="HI967" s="91"/>
      <c r="HJ967" s="91"/>
      <c r="HK967" s="91"/>
      <c r="HL967" s="91"/>
      <c r="HM967" s="91"/>
      <c r="HN967" s="91"/>
      <c r="HO967" s="91"/>
      <c r="HP967" s="91"/>
      <c r="HQ967" s="91"/>
      <c r="HR967" s="91"/>
      <c r="HS967" s="91"/>
      <c r="HT967" s="91"/>
      <c r="HU967" s="91"/>
      <c r="HV967" s="91"/>
      <c r="HW967" s="91"/>
      <c r="HX967" s="91"/>
      <c r="HY967" s="91"/>
      <c r="HZ967" s="91"/>
      <c r="IA967" s="91"/>
      <c r="IB967" s="91"/>
      <c r="IC967" s="91"/>
      <c r="ID967" s="91"/>
      <c r="IE967" s="91"/>
    </row>
    <row r="968" spans="2:239" ht="15" x14ac:dyDescent="0.2">
      <c r="B968" s="91"/>
      <c r="C968" s="91"/>
      <c r="D968" s="91"/>
      <c r="E968" s="227"/>
      <c r="F968" s="91"/>
      <c r="G968" s="91"/>
      <c r="H968" s="91"/>
      <c r="I968" s="91"/>
      <c r="J968" s="91"/>
      <c r="K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c r="HV968" s="91"/>
      <c r="HW968" s="91"/>
      <c r="HX968" s="91"/>
      <c r="HY968" s="91"/>
      <c r="HZ968" s="91"/>
      <c r="IA968" s="91"/>
      <c r="IB968" s="91"/>
      <c r="IC968" s="91"/>
      <c r="ID968" s="91"/>
      <c r="IE968" s="91"/>
    </row>
    <row r="969" spans="2:239" ht="15" x14ac:dyDescent="0.2">
      <c r="B969" s="91"/>
      <c r="C969" s="91"/>
      <c r="D969" s="91"/>
      <c r="E969" s="227"/>
      <c r="F969" s="91"/>
      <c r="G969" s="91"/>
      <c r="H969" s="91"/>
      <c r="I969" s="91"/>
      <c r="J969" s="91"/>
      <c r="K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c r="GU969" s="91"/>
      <c r="GV969" s="91"/>
      <c r="GW969" s="91"/>
      <c r="GX969" s="91"/>
      <c r="GY969" s="91"/>
      <c r="GZ969" s="91"/>
      <c r="HA969" s="91"/>
      <c r="HB969" s="91"/>
      <c r="HC969" s="91"/>
      <c r="HD969" s="91"/>
      <c r="HE969" s="91"/>
      <c r="HF969" s="91"/>
      <c r="HG969" s="91"/>
      <c r="HH969" s="91"/>
      <c r="HI969" s="91"/>
      <c r="HJ969" s="91"/>
      <c r="HK969" s="91"/>
      <c r="HL969" s="91"/>
      <c r="HM969" s="91"/>
      <c r="HN969" s="91"/>
      <c r="HO969" s="91"/>
      <c r="HP969" s="91"/>
      <c r="HQ969" s="91"/>
      <c r="HR969" s="91"/>
      <c r="HS969" s="91"/>
      <c r="HT969" s="91"/>
      <c r="HU969" s="91"/>
      <c r="HV969" s="91"/>
      <c r="HW969" s="91"/>
      <c r="HX969" s="91"/>
      <c r="HY969" s="91"/>
      <c r="HZ969" s="91"/>
      <c r="IA969" s="91"/>
      <c r="IB969" s="91"/>
      <c r="IC969" s="91"/>
      <c r="ID969" s="91"/>
      <c r="IE969" s="91"/>
    </row>
    <row r="970" spans="2:239" ht="15" x14ac:dyDescent="0.2">
      <c r="B970" s="91"/>
      <c r="C970" s="91"/>
      <c r="D970" s="91"/>
      <c r="E970" s="227"/>
      <c r="F970" s="91"/>
      <c r="G970" s="91"/>
      <c r="H970" s="91"/>
      <c r="I970" s="91"/>
      <c r="J970" s="91"/>
      <c r="K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c r="HV970" s="91"/>
      <c r="HW970" s="91"/>
      <c r="HX970" s="91"/>
      <c r="HY970" s="91"/>
      <c r="HZ970" s="91"/>
      <c r="IA970" s="91"/>
      <c r="IB970" s="91"/>
      <c r="IC970" s="91"/>
      <c r="ID970" s="91"/>
      <c r="IE970" s="91"/>
    </row>
    <row r="971" spans="2:239" ht="15" x14ac:dyDescent="0.2">
      <c r="B971" s="91"/>
      <c r="C971" s="91"/>
      <c r="D971" s="91"/>
      <c r="E971" s="227"/>
      <c r="F971" s="91"/>
      <c r="G971" s="91"/>
      <c r="H971" s="91"/>
      <c r="I971" s="91"/>
      <c r="J971" s="91"/>
      <c r="K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c r="HV971" s="91"/>
      <c r="HW971" s="91"/>
      <c r="HX971" s="91"/>
      <c r="HY971" s="91"/>
      <c r="HZ971" s="91"/>
      <c r="IA971" s="91"/>
      <c r="IB971" s="91"/>
      <c r="IC971" s="91"/>
      <c r="ID971" s="91"/>
      <c r="IE971" s="91"/>
    </row>
    <row r="972" spans="2:239" ht="15" x14ac:dyDescent="0.2">
      <c r="B972" s="91"/>
      <c r="C972" s="91"/>
      <c r="D972" s="91"/>
      <c r="E972" s="227"/>
      <c r="F972" s="91"/>
      <c r="G972" s="91"/>
      <c r="H972" s="91"/>
      <c r="I972" s="91"/>
      <c r="J972" s="91"/>
      <c r="K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c r="GU972" s="91"/>
      <c r="GV972" s="91"/>
      <c r="GW972" s="91"/>
      <c r="GX972" s="91"/>
      <c r="GY972" s="91"/>
      <c r="GZ972" s="91"/>
      <c r="HA972" s="91"/>
      <c r="HB972" s="91"/>
      <c r="HC972" s="91"/>
      <c r="HD972" s="91"/>
      <c r="HE972" s="91"/>
      <c r="HF972" s="91"/>
      <c r="HG972" s="91"/>
      <c r="HH972" s="91"/>
      <c r="HI972" s="91"/>
      <c r="HJ972" s="91"/>
      <c r="HK972" s="91"/>
      <c r="HL972" s="91"/>
      <c r="HM972" s="91"/>
      <c r="HN972" s="91"/>
      <c r="HO972" s="91"/>
      <c r="HP972" s="91"/>
      <c r="HQ972" s="91"/>
      <c r="HR972" s="91"/>
      <c r="HS972" s="91"/>
      <c r="HT972" s="91"/>
      <c r="HU972" s="91"/>
      <c r="HV972" s="91"/>
      <c r="HW972" s="91"/>
      <c r="HX972" s="91"/>
      <c r="HY972" s="91"/>
      <c r="HZ972" s="91"/>
      <c r="IA972" s="91"/>
      <c r="IB972" s="91"/>
      <c r="IC972" s="91"/>
      <c r="ID972" s="91"/>
      <c r="IE972" s="91"/>
    </row>
    <row r="973" spans="2:239" ht="15" x14ac:dyDescent="0.2">
      <c r="B973" s="91"/>
      <c r="C973" s="91"/>
      <c r="D973" s="91"/>
      <c r="E973" s="227"/>
      <c r="F973" s="91"/>
      <c r="G973" s="91"/>
      <c r="H973" s="91"/>
      <c r="I973" s="91"/>
      <c r="J973" s="91"/>
      <c r="K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c r="GU973" s="91"/>
      <c r="GV973" s="91"/>
      <c r="GW973" s="91"/>
      <c r="GX973" s="91"/>
      <c r="GY973" s="91"/>
      <c r="GZ973" s="91"/>
      <c r="HA973" s="91"/>
      <c r="HB973" s="91"/>
      <c r="HC973" s="91"/>
      <c r="HD973" s="91"/>
      <c r="HE973" s="91"/>
      <c r="HF973" s="91"/>
      <c r="HG973" s="91"/>
      <c r="HH973" s="91"/>
      <c r="HI973" s="91"/>
      <c r="HJ973" s="91"/>
      <c r="HK973" s="91"/>
      <c r="HL973" s="91"/>
      <c r="HM973" s="91"/>
      <c r="HN973" s="91"/>
      <c r="HO973" s="91"/>
      <c r="HP973" s="91"/>
      <c r="HQ973" s="91"/>
      <c r="HR973" s="91"/>
      <c r="HS973" s="91"/>
      <c r="HT973" s="91"/>
      <c r="HU973" s="91"/>
      <c r="HV973" s="91"/>
      <c r="HW973" s="91"/>
      <c r="HX973" s="91"/>
      <c r="HY973" s="91"/>
      <c r="HZ973" s="91"/>
      <c r="IA973" s="91"/>
      <c r="IB973" s="91"/>
      <c r="IC973" s="91"/>
      <c r="ID973" s="91"/>
      <c r="IE973" s="91"/>
    </row>
    <row r="974" spans="2:239" ht="15" x14ac:dyDescent="0.2">
      <c r="B974" s="91"/>
      <c r="C974" s="91"/>
      <c r="D974" s="91"/>
      <c r="E974" s="227"/>
      <c r="F974" s="91"/>
      <c r="G974" s="91"/>
      <c r="H974" s="91"/>
      <c r="I974" s="91"/>
      <c r="J974" s="91"/>
      <c r="K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c r="HV974" s="91"/>
      <c r="HW974" s="91"/>
      <c r="HX974" s="91"/>
      <c r="HY974" s="91"/>
      <c r="HZ974" s="91"/>
      <c r="IA974" s="91"/>
      <c r="IB974" s="91"/>
      <c r="IC974" s="91"/>
      <c r="ID974" s="91"/>
      <c r="IE974" s="91"/>
    </row>
    <row r="975" spans="2:239" ht="15" x14ac:dyDescent="0.2">
      <c r="B975" s="91"/>
      <c r="C975" s="91"/>
      <c r="D975" s="91"/>
      <c r="E975" s="227"/>
      <c r="F975" s="91"/>
      <c r="G975" s="91"/>
      <c r="H975" s="91"/>
      <c r="I975" s="91"/>
      <c r="J975" s="91"/>
      <c r="K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c r="GU975" s="91"/>
      <c r="GV975" s="91"/>
      <c r="GW975" s="91"/>
      <c r="GX975" s="91"/>
      <c r="GY975" s="91"/>
      <c r="GZ975" s="91"/>
      <c r="HA975" s="91"/>
      <c r="HB975" s="91"/>
      <c r="HC975" s="91"/>
      <c r="HD975" s="91"/>
      <c r="HE975" s="91"/>
      <c r="HF975" s="91"/>
      <c r="HG975" s="91"/>
      <c r="HH975" s="91"/>
      <c r="HI975" s="91"/>
      <c r="HJ975" s="91"/>
      <c r="HK975" s="91"/>
      <c r="HL975" s="91"/>
      <c r="HM975" s="91"/>
      <c r="HN975" s="91"/>
      <c r="HO975" s="91"/>
      <c r="HP975" s="91"/>
      <c r="HQ975" s="91"/>
      <c r="HR975" s="91"/>
      <c r="HS975" s="91"/>
      <c r="HT975" s="91"/>
      <c r="HU975" s="91"/>
      <c r="HV975" s="91"/>
      <c r="HW975" s="91"/>
      <c r="HX975" s="91"/>
      <c r="HY975" s="91"/>
      <c r="HZ975" s="91"/>
      <c r="IA975" s="91"/>
      <c r="IB975" s="91"/>
      <c r="IC975" s="91"/>
      <c r="ID975" s="91"/>
      <c r="IE975" s="91"/>
    </row>
    <row r="976" spans="2:239" ht="15" x14ac:dyDescent="0.2">
      <c r="B976" s="91"/>
      <c r="C976" s="91"/>
      <c r="D976" s="91"/>
      <c r="E976" s="227"/>
      <c r="F976" s="91"/>
      <c r="G976" s="91"/>
      <c r="H976" s="91"/>
      <c r="I976" s="91"/>
      <c r="J976" s="91"/>
      <c r="K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c r="GU976" s="91"/>
      <c r="GV976" s="91"/>
      <c r="GW976" s="91"/>
      <c r="GX976" s="91"/>
      <c r="GY976" s="91"/>
      <c r="GZ976" s="91"/>
      <c r="HA976" s="91"/>
      <c r="HB976" s="91"/>
      <c r="HC976" s="91"/>
      <c r="HD976" s="91"/>
      <c r="HE976" s="91"/>
      <c r="HF976" s="91"/>
      <c r="HG976" s="91"/>
      <c r="HH976" s="91"/>
      <c r="HI976" s="91"/>
      <c r="HJ976" s="91"/>
      <c r="HK976" s="91"/>
      <c r="HL976" s="91"/>
      <c r="HM976" s="91"/>
      <c r="HN976" s="91"/>
      <c r="HO976" s="91"/>
      <c r="HP976" s="91"/>
      <c r="HQ976" s="91"/>
      <c r="HR976" s="91"/>
      <c r="HS976" s="91"/>
      <c r="HT976" s="91"/>
      <c r="HU976" s="91"/>
      <c r="HV976" s="91"/>
      <c r="HW976" s="91"/>
      <c r="HX976" s="91"/>
      <c r="HY976" s="91"/>
      <c r="HZ976" s="91"/>
      <c r="IA976" s="91"/>
      <c r="IB976" s="91"/>
      <c r="IC976" s="91"/>
      <c r="ID976" s="91"/>
      <c r="IE976" s="91"/>
    </row>
    <row r="977" spans="2:239" ht="15" x14ac:dyDescent="0.2">
      <c r="B977" s="91"/>
      <c r="C977" s="91"/>
      <c r="D977" s="91"/>
      <c r="E977" s="227"/>
      <c r="F977" s="91"/>
      <c r="G977" s="91"/>
      <c r="H977" s="91"/>
      <c r="I977" s="91"/>
      <c r="J977" s="91"/>
      <c r="K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c r="HV977" s="91"/>
      <c r="HW977" s="91"/>
      <c r="HX977" s="91"/>
      <c r="HY977" s="91"/>
      <c r="HZ977" s="91"/>
      <c r="IA977" s="91"/>
      <c r="IB977" s="91"/>
      <c r="IC977" s="91"/>
      <c r="ID977" s="91"/>
      <c r="IE977" s="91"/>
    </row>
    <row r="978" spans="2:239" ht="15" x14ac:dyDescent="0.2">
      <c r="B978" s="91"/>
      <c r="C978" s="91"/>
      <c r="D978" s="91"/>
      <c r="E978" s="227"/>
      <c r="F978" s="91"/>
      <c r="G978" s="91"/>
      <c r="H978" s="91"/>
      <c r="I978" s="91"/>
      <c r="J978" s="91"/>
      <c r="K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c r="GU978" s="91"/>
      <c r="GV978" s="91"/>
      <c r="GW978" s="91"/>
      <c r="GX978" s="91"/>
      <c r="GY978" s="91"/>
      <c r="GZ978" s="91"/>
      <c r="HA978" s="91"/>
      <c r="HB978" s="91"/>
      <c r="HC978" s="91"/>
      <c r="HD978" s="91"/>
      <c r="HE978" s="91"/>
      <c r="HF978" s="91"/>
      <c r="HG978" s="91"/>
      <c r="HH978" s="91"/>
      <c r="HI978" s="91"/>
      <c r="HJ978" s="91"/>
      <c r="HK978" s="91"/>
      <c r="HL978" s="91"/>
      <c r="HM978" s="91"/>
      <c r="HN978" s="91"/>
      <c r="HO978" s="91"/>
      <c r="HP978" s="91"/>
      <c r="HQ978" s="91"/>
      <c r="HR978" s="91"/>
      <c r="HS978" s="91"/>
      <c r="HT978" s="91"/>
      <c r="HU978" s="91"/>
      <c r="HV978" s="91"/>
      <c r="HW978" s="91"/>
      <c r="HX978" s="91"/>
      <c r="HY978" s="91"/>
      <c r="HZ978" s="91"/>
      <c r="IA978" s="91"/>
      <c r="IB978" s="91"/>
      <c r="IC978" s="91"/>
      <c r="ID978" s="91"/>
      <c r="IE978" s="91"/>
    </row>
    <row r="979" spans="2:239" ht="15" x14ac:dyDescent="0.2">
      <c r="B979" s="91"/>
      <c r="C979" s="91"/>
      <c r="D979" s="91"/>
      <c r="E979" s="227"/>
      <c r="F979" s="91"/>
      <c r="G979" s="91"/>
      <c r="H979" s="91"/>
      <c r="I979" s="91"/>
      <c r="J979" s="91"/>
      <c r="K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c r="HV979" s="91"/>
      <c r="HW979" s="91"/>
      <c r="HX979" s="91"/>
      <c r="HY979" s="91"/>
      <c r="HZ979" s="91"/>
      <c r="IA979" s="91"/>
      <c r="IB979" s="91"/>
      <c r="IC979" s="91"/>
      <c r="ID979" s="91"/>
      <c r="IE979" s="91"/>
    </row>
    <row r="980" spans="2:239" ht="15" x14ac:dyDescent="0.2">
      <c r="B980" s="91"/>
      <c r="C980" s="91"/>
      <c r="D980" s="91"/>
      <c r="E980" s="227"/>
      <c r="F980" s="91"/>
      <c r="G980" s="91"/>
      <c r="H980" s="91"/>
      <c r="I980" s="91"/>
      <c r="J980" s="91"/>
      <c r="K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c r="HV980" s="91"/>
      <c r="HW980" s="91"/>
      <c r="HX980" s="91"/>
      <c r="HY980" s="91"/>
      <c r="HZ980" s="91"/>
      <c r="IA980" s="91"/>
      <c r="IB980" s="91"/>
      <c r="IC980" s="91"/>
      <c r="ID980" s="91"/>
      <c r="IE980" s="91"/>
    </row>
    <row r="981" spans="2:239" ht="15" x14ac:dyDescent="0.2">
      <c r="B981" s="91"/>
      <c r="C981" s="91"/>
      <c r="D981" s="91"/>
      <c r="E981" s="227"/>
      <c r="F981" s="91"/>
      <c r="G981" s="91"/>
      <c r="H981" s="91"/>
      <c r="I981" s="91"/>
      <c r="J981" s="91"/>
      <c r="K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c r="HV981" s="91"/>
      <c r="HW981" s="91"/>
      <c r="HX981" s="91"/>
      <c r="HY981" s="91"/>
      <c r="HZ981" s="91"/>
      <c r="IA981" s="91"/>
      <c r="IB981" s="91"/>
      <c r="IC981" s="91"/>
      <c r="ID981" s="91"/>
      <c r="IE981" s="91"/>
    </row>
    <row r="982" spans="2:239" ht="15" x14ac:dyDescent="0.2">
      <c r="B982" s="91"/>
      <c r="C982" s="91"/>
      <c r="D982" s="91"/>
      <c r="E982" s="227"/>
      <c r="F982" s="91"/>
      <c r="G982" s="91"/>
      <c r="H982" s="91"/>
      <c r="I982" s="91"/>
      <c r="J982" s="91"/>
      <c r="K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c r="GU982" s="91"/>
      <c r="GV982" s="91"/>
      <c r="GW982" s="91"/>
      <c r="GX982" s="91"/>
      <c r="GY982" s="91"/>
      <c r="GZ982" s="91"/>
      <c r="HA982" s="91"/>
      <c r="HB982" s="91"/>
      <c r="HC982" s="91"/>
      <c r="HD982" s="91"/>
      <c r="HE982" s="91"/>
      <c r="HF982" s="91"/>
      <c r="HG982" s="91"/>
      <c r="HH982" s="91"/>
      <c r="HI982" s="91"/>
      <c r="HJ982" s="91"/>
      <c r="HK982" s="91"/>
      <c r="HL982" s="91"/>
      <c r="HM982" s="91"/>
      <c r="HN982" s="91"/>
      <c r="HO982" s="91"/>
      <c r="HP982" s="91"/>
      <c r="HQ982" s="91"/>
      <c r="HR982" s="91"/>
      <c r="HS982" s="91"/>
      <c r="HT982" s="91"/>
      <c r="HU982" s="91"/>
      <c r="HV982" s="91"/>
      <c r="HW982" s="91"/>
      <c r="HX982" s="91"/>
      <c r="HY982" s="91"/>
      <c r="HZ982" s="91"/>
      <c r="IA982" s="91"/>
      <c r="IB982" s="91"/>
      <c r="IC982" s="91"/>
      <c r="ID982" s="91"/>
      <c r="IE982" s="91"/>
    </row>
    <row r="983" spans="2:239" ht="15" x14ac:dyDescent="0.2">
      <c r="B983" s="91"/>
      <c r="C983" s="91"/>
      <c r="D983" s="91"/>
      <c r="E983" s="227"/>
      <c r="F983" s="91"/>
      <c r="G983" s="91"/>
      <c r="H983" s="91"/>
      <c r="I983" s="91"/>
      <c r="J983" s="91"/>
      <c r="K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c r="HV983" s="91"/>
      <c r="HW983" s="91"/>
      <c r="HX983" s="91"/>
      <c r="HY983" s="91"/>
      <c r="HZ983" s="91"/>
      <c r="IA983" s="91"/>
      <c r="IB983" s="91"/>
      <c r="IC983" s="91"/>
      <c r="ID983" s="91"/>
      <c r="IE983" s="91"/>
    </row>
    <row r="984" spans="2:239" ht="15" x14ac:dyDescent="0.2">
      <c r="B984" s="91"/>
      <c r="C984" s="91"/>
      <c r="D984" s="91"/>
      <c r="E984" s="227"/>
      <c r="F984" s="91"/>
      <c r="G984" s="91"/>
      <c r="H984" s="91"/>
      <c r="I984" s="91"/>
      <c r="J984" s="91"/>
      <c r="K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c r="GU984" s="91"/>
      <c r="GV984" s="91"/>
      <c r="GW984" s="91"/>
      <c r="GX984" s="91"/>
      <c r="GY984" s="91"/>
      <c r="GZ984" s="91"/>
      <c r="HA984" s="91"/>
      <c r="HB984" s="91"/>
      <c r="HC984" s="91"/>
      <c r="HD984" s="91"/>
      <c r="HE984" s="91"/>
      <c r="HF984" s="91"/>
      <c r="HG984" s="91"/>
      <c r="HH984" s="91"/>
      <c r="HI984" s="91"/>
      <c r="HJ984" s="91"/>
      <c r="HK984" s="91"/>
      <c r="HL984" s="91"/>
      <c r="HM984" s="91"/>
      <c r="HN984" s="91"/>
      <c r="HO984" s="91"/>
      <c r="HP984" s="91"/>
      <c r="HQ984" s="91"/>
      <c r="HR984" s="91"/>
      <c r="HS984" s="91"/>
      <c r="HT984" s="91"/>
      <c r="HU984" s="91"/>
      <c r="HV984" s="91"/>
      <c r="HW984" s="91"/>
      <c r="HX984" s="91"/>
      <c r="HY984" s="91"/>
      <c r="HZ984" s="91"/>
      <c r="IA984" s="91"/>
      <c r="IB984" s="91"/>
      <c r="IC984" s="91"/>
      <c r="ID984" s="91"/>
      <c r="IE984" s="91"/>
    </row>
    <row r="985" spans="2:239" ht="15" x14ac:dyDescent="0.2">
      <c r="B985" s="91"/>
      <c r="C985" s="91"/>
      <c r="D985" s="91"/>
      <c r="E985" s="227"/>
      <c r="F985" s="91"/>
      <c r="G985" s="91"/>
      <c r="H985" s="91"/>
      <c r="I985" s="91"/>
      <c r="J985" s="91"/>
      <c r="K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c r="HV985" s="91"/>
      <c r="HW985" s="91"/>
      <c r="HX985" s="91"/>
      <c r="HY985" s="91"/>
      <c r="HZ985" s="91"/>
      <c r="IA985" s="91"/>
      <c r="IB985" s="91"/>
      <c r="IC985" s="91"/>
      <c r="ID985" s="91"/>
      <c r="IE985" s="91"/>
    </row>
    <row r="986" spans="2:239" ht="15" x14ac:dyDescent="0.2">
      <c r="B986" s="91"/>
      <c r="C986" s="91"/>
      <c r="D986" s="91"/>
      <c r="E986" s="227"/>
      <c r="F986" s="91"/>
      <c r="G986" s="91"/>
      <c r="H986" s="91"/>
      <c r="I986" s="91"/>
      <c r="J986" s="91"/>
      <c r="K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c r="GU986" s="91"/>
      <c r="GV986" s="91"/>
      <c r="GW986" s="91"/>
      <c r="GX986" s="91"/>
      <c r="GY986" s="91"/>
      <c r="GZ986" s="91"/>
      <c r="HA986" s="91"/>
      <c r="HB986" s="91"/>
      <c r="HC986" s="91"/>
      <c r="HD986" s="91"/>
      <c r="HE986" s="91"/>
      <c r="HF986" s="91"/>
      <c r="HG986" s="91"/>
      <c r="HH986" s="91"/>
      <c r="HI986" s="91"/>
      <c r="HJ986" s="91"/>
      <c r="HK986" s="91"/>
      <c r="HL986" s="91"/>
      <c r="HM986" s="91"/>
      <c r="HN986" s="91"/>
      <c r="HO986" s="91"/>
      <c r="HP986" s="91"/>
      <c r="HQ986" s="91"/>
      <c r="HR986" s="91"/>
      <c r="HS986" s="91"/>
      <c r="HT986" s="91"/>
      <c r="HU986" s="91"/>
      <c r="HV986" s="91"/>
      <c r="HW986" s="91"/>
      <c r="HX986" s="91"/>
      <c r="HY986" s="91"/>
      <c r="HZ986" s="91"/>
      <c r="IA986" s="91"/>
      <c r="IB986" s="91"/>
      <c r="IC986" s="91"/>
      <c r="ID986" s="91"/>
      <c r="IE986" s="91"/>
    </row>
    <row r="987" spans="2:239" ht="15" x14ac:dyDescent="0.2">
      <c r="B987" s="91"/>
      <c r="C987" s="91"/>
      <c r="D987" s="91"/>
      <c r="E987" s="227"/>
      <c r="F987" s="91"/>
      <c r="G987" s="91"/>
      <c r="H987" s="91"/>
      <c r="I987" s="91"/>
      <c r="J987" s="91"/>
      <c r="K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c r="HV987" s="91"/>
      <c r="HW987" s="91"/>
      <c r="HX987" s="91"/>
      <c r="HY987" s="91"/>
      <c r="HZ987" s="91"/>
      <c r="IA987" s="91"/>
      <c r="IB987" s="91"/>
      <c r="IC987" s="91"/>
      <c r="ID987" s="91"/>
      <c r="IE987" s="91"/>
    </row>
    <row r="988" spans="2:239" ht="15" x14ac:dyDescent="0.2">
      <c r="B988" s="91"/>
      <c r="C988" s="91"/>
      <c r="D988" s="91"/>
      <c r="E988" s="227"/>
      <c r="F988" s="91"/>
      <c r="G988" s="91"/>
      <c r="H988" s="91"/>
      <c r="I988" s="91"/>
      <c r="J988" s="91"/>
      <c r="K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c r="GU988" s="91"/>
      <c r="GV988" s="91"/>
      <c r="GW988" s="91"/>
      <c r="GX988" s="91"/>
      <c r="GY988" s="91"/>
      <c r="GZ988" s="91"/>
      <c r="HA988" s="91"/>
      <c r="HB988" s="91"/>
      <c r="HC988" s="91"/>
      <c r="HD988" s="91"/>
      <c r="HE988" s="91"/>
      <c r="HF988" s="91"/>
      <c r="HG988" s="91"/>
      <c r="HH988" s="91"/>
      <c r="HI988" s="91"/>
      <c r="HJ988" s="91"/>
      <c r="HK988" s="91"/>
      <c r="HL988" s="91"/>
      <c r="HM988" s="91"/>
      <c r="HN988" s="91"/>
      <c r="HO988" s="91"/>
      <c r="HP988" s="91"/>
      <c r="HQ988" s="91"/>
      <c r="HR988" s="91"/>
      <c r="HS988" s="91"/>
      <c r="HT988" s="91"/>
      <c r="HU988" s="91"/>
      <c r="HV988" s="91"/>
      <c r="HW988" s="91"/>
      <c r="HX988" s="91"/>
      <c r="HY988" s="91"/>
      <c r="HZ988" s="91"/>
      <c r="IA988" s="91"/>
      <c r="IB988" s="91"/>
      <c r="IC988" s="91"/>
      <c r="ID988" s="91"/>
      <c r="IE988" s="91"/>
    </row>
    <row r="989" spans="2:239" ht="15" x14ac:dyDescent="0.2">
      <c r="B989" s="91"/>
      <c r="C989" s="91"/>
      <c r="D989" s="91"/>
      <c r="E989" s="227"/>
      <c r="F989" s="91"/>
      <c r="G989" s="91"/>
      <c r="H989" s="91"/>
      <c r="I989" s="91"/>
      <c r="J989" s="91"/>
      <c r="K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c r="HV989" s="91"/>
      <c r="HW989" s="91"/>
      <c r="HX989" s="91"/>
      <c r="HY989" s="91"/>
      <c r="HZ989" s="91"/>
      <c r="IA989" s="91"/>
      <c r="IB989" s="91"/>
      <c r="IC989" s="91"/>
      <c r="ID989" s="91"/>
      <c r="IE989" s="91"/>
    </row>
    <row r="990" spans="2:239" ht="15" x14ac:dyDescent="0.2">
      <c r="B990" s="91"/>
      <c r="C990" s="91"/>
      <c r="D990" s="91"/>
      <c r="E990" s="227"/>
      <c r="F990" s="91"/>
      <c r="G990" s="91"/>
      <c r="H990" s="91"/>
      <c r="I990" s="91"/>
      <c r="J990" s="91"/>
      <c r="K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c r="GU990" s="91"/>
      <c r="GV990" s="91"/>
      <c r="GW990" s="91"/>
      <c r="GX990" s="91"/>
      <c r="GY990" s="91"/>
      <c r="GZ990" s="91"/>
      <c r="HA990" s="91"/>
      <c r="HB990" s="91"/>
      <c r="HC990" s="91"/>
      <c r="HD990" s="91"/>
      <c r="HE990" s="91"/>
      <c r="HF990" s="91"/>
      <c r="HG990" s="91"/>
      <c r="HH990" s="91"/>
      <c r="HI990" s="91"/>
      <c r="HJ990" s="91"/>
      <c r="HK990" s="91"/>
      <c r="HL990" s="91"/>
      <c r="HM990" s="91"/>
      <c r="HN990" s="91"/>
      <c r="HO990" s="91"/>
      <c r="HP990" s="91"/>
      <c r="HQ990" s="91"/>
      <c r="HR990" s="91"/>
      <c r="HS990" s="91"/>
      <c r="HT990" s="91"/>
      <c r="HU990" s="91"/>
      <c r="HV990" s="91"/>
      <c r="HW990" s="91"/>
      <c r="HX990" s="91"/>
      <c r="HY990" s="91"/>
      <c r="HZ990" s="91"/>
      <c r="IA990" s="91"/>
      <c r="IB990" s="91"/>
      <c r="IC990" s="91"/>
      <c r="ID990" s="91"/>
      <c r="IE990" s="91"/>
    </row>
    <row r="991" spans="2:239" ht="15" x14ac:dyDescent="0.2">
      <c r="B991" s="91"/>
      <c r="C991" s="91"/>
      <c r="D991" s="91"/>
      <c r="E991" s="227"/>
      <c r="F991" s="91"/>
      <c r="G991" s="91"/>
      <c r="H991" s="91"/>
      <c r="I991" s="91"/>
      <c r="J991" s="91"/>
      <c r="K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c r="HV991" s="91"/>
      <c r="HW991" s="91"/>
      <c r="HX991" s="91"/>
      <c r="HY991" s="91"/>
      <c r="HZ991" s="91"/>
      <c r="IA991" s="91"/>
      <c r="IB991" s="91"/>
      <c r="IC991" s="91"/>
      <c r="ID991" s="91"/>
      <c r="IE991" s="91"/>
    </row>
    <row r="992" spans="2:239" ht="15" x14ac:dyDescent="0.2">
      <c r="B992" s="91"/>
      <c r="C992" s="91"/>
      <c r="D992" s="91"/>
      <c r="E992" s="227"/>
      <c r="F992" s="91"/>
      <c r="G992" s="91"/>
      <c r="H992" s="91"/>
      <c r="I992" s="91"/>
      <c r="J992" s="91"/>
      <c r="K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c r="HV992" s="91"/>
      <c r="HW992" s="91"/>
      <c r="HX992" s="91"/>
      <c r="HY992" s="91"/>
      <c r="HZ992" s="91"/>
      <c r="IA992" s="91"/>
      <c r="IB992" s="91"/>
      <c r="IC992" s="91"/>
      <c r="ID992" s="91"/>
      <c r="IE992" s="91"/>
    </row>
    <row r="993" spans="2:239" ht="15" x14ac:dyDescent="0.2">
      <c r="B993" s="91"/>
      <c r="C993" s="91"/>
      <c r="D993" s="91"/>
      <c r="E993" s="227"/>
      <c r="F993" s="91"/>
      <c r="G993" s="91"/>
      <c r="H993" s="91"/>
      <c r="I993" s="91"/>
      <c r="J993" s="91"/>
      <c r="K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c r="GU993" s="91"/>
      <c r="GV993" s="91"/>
      <c r="GW993" s="91"/>
      <c r="GX993" s="91"/>
      <c r="GY993" s="91"/>
      <c r="GZ993" s="91"/>
      <c r="HA993" s="91"/>
      <c r="HB993" s="91"/>
      <c r="HC993" s="91"/>
      <c r="HD993" s="91"/>
      <c r="HE993" s="91"/>
      <c r="HF993" s="91"/>
      <c r="HG993" s="91"/>
      <c r="HH993" s="91"/>
      <c r="HI993" s="91"/>
      <c r="HJ993" s="91"/>
      <c r="HK993" s="91"/>
      <c r="HL993" s="91"/>
      <c r="HM993" s="91"/>
      <c r="HN993" s="91"/>
      <c r="HO993" s="91"/>
      <c r="HP993" s="91"/>
      <c r="HQ993" s="91"/>
      <c r="HR993" s="91"/>
      <c r="HS993" s="91"/>
      <c r="HT993" s="91"/>
      <c r="HU993" s="91"/>
      <c r="HV993" s="91"/>
      <c r="HW993" s="91"/>
      <c r="HX993" s="91"/>
      <c r="HY993" s="91"/>
      <c r="HZ993" s="91"/>
      <c r="IA993" s="91"/>
      <c r="IB993" s="91"/>
      <c r="IC993" s="91"/>
      <c r="ID993" s="91"/>
      <c r="IE993" s="91"/>
    </row>
    <row r="994" spans="2:239" ht="15" x14ac:dyDescent="0.2">
      <c r="B994" s="91"/>
      <c r="C994" s="91"/>
      <c r="D994" s="91"/>
      <c r="E994" s="227"/>
      <c r="F994" s="91"/>
      <c r="G994" s="91"/>
      <c r="H994" s="91"/>
      <c r="I994" s="91"/>
      <c r="J994" s="91"/>
      <c r="K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c r="HV994" s="91"/>
      <c r="HW994" s="91"/>
      <c r="HX994" s="91"/>
      <c r="HY994" s="91"/>
      <c r="HZ994" s="91"/>
      <c r="IA994" s="91"/>
      <c r="IB994" s="91"/>
      <c r="IC994" s="91"/>
      <c r="ID994" s="91"/>
      <c r="IE994" s="91"/>
    </row>
    <row r="995" spans="2:239" ht="15" x14ac:dyDescent="0.2">
      <c r="B995" s="91"/>
      <c r="C995" s="91"/>
      <c r="D995" s="91"/>
      <c r="E995" s="227"/>
      <c r="F995" s="91"/>
      <c r="G995" s="91"/>
      <c r="H995" s="91"/>
      <c r="I995" s="91"/>
      <c r="J995" s="91"/>
      <c r="K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c r="GU995" s="91"/>
      <c r="GV995" s="91"/>
      <c r="GW995" s="91"/>
      <c r="GX995" s="91"/>
      <c r="GY995" s="91"/>
      <c r="GZ995" s="91"/>
      <c r="HA995" s="91"/>
      <c r="HB995" s="91"/>
      <c r="HC995" s="91"/>
      <c r="HD995" s="91"/>
      <c r="HE995" s="91"/>
      <c r="HF995" s="91"/>
      <c r="HG995" s="91"/>
      <c r="HH995" s="91"/>
      <c r="HI995" s="91"/>
      <c r="HJ995" s="91"/>
      <c r="HK995" s="91"/>
      <c r="HL995" s="91"/>
      <c r="HM995" s="91"/>
      <c r="HN995" s="91"/>
      <c r="HO995" s="91"/>
      <c r="HP995" s="91"/>
      <c r="HQ995" s="91"/>
      <c r="HR995" s="91"/>
      <c r="HS995" s="91"/>
      <c r="HT995" s="91"/>
      <c r="HU995" s="91"/>
      <c r="HV995" s="91"/>
      <c r="HW995" s="91"/>
      <c r="HX995" s="91"/>
      <c r="HY995" s="91"/>
      <c r="HZ995" s="91"/>
      <c r="IA995" s="91"/>
      <c r="IB995" s="91"/>
      <c r="IC995" s="91"/>
      <c r="ID995" s="91"/>
      <c r="IE995" s="91"/>
    </row>
    <row r="996" spans="2:239" ht="15" x14ac:dyDescent="0.2">
      <c r="B996" s="91"/>
      <c r="C996" s="91"/>
      <c r="D996" s="91"/>
      <c r="E996" s="227"/>
      <c r="F996" s="91"/>
      <c r="G996" s="91"/>
      <c r="H996" s="91"/>
      <c r="I996" s="91"/>
      <c r="J996" s="91"/>
      <c r="K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c r="HV996" s="91"/>
      <c r="HW996" s="91"/>
      <c r="HX996" s="91"/>
      <c r="HY996" s="91"/>
      <c r="HZ996" s="91"/>
      <c r="IA996" s="91"/>
      <c r="IB996" s="91"/>
      <c r="IC996" s="91"/>
      <c r="ID996" s="91"/>
      <c r="IE996" s="91"/>
    </row>
    <row r="997" spans="2:239" ht="15" x14ac:dyDescent="0.2">
      <c r="B997" s="91"/>
      <c r="C997" s="91"/>
      <c r="D997" s="91"/>
      <c r="E997" s="227"/>
      <c r="F997" s="91"/>
      <c r="G997" s="91"/>
      <c r="H997" s="91"/>
      <c r="I997" s="91"/>
      <c r="J997" s="91"/>
      <c r="K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c r="GU997" s="91"/>
      <c r="GV997" s="91"/>
      <c r="GW997" s="91"/>
      <c r="GX997" s="91"/>
      <c r="GY997" s="91"/>
      <c r="GZ997" s="91"/>
      <c r="HA997" s="91"/>
      <c r="HB997" s="91"/>
      <c r="HC997" s="91"/>
      <c r="HD997" s="91"/>
      <c r="HE997" s="91"/>
      <c r="HF997" s="91"/>
      <c r="HG997" s="91"/>
      <c r="HH997" s="91"/>
      <c r="HI997" s="91"/>
      <c r="HJ997" s="91"/>
      <c r="HK997" s="91"/>
      <c r="HL997" s="91"/>
      <c r="HM997" s="91"/>
      <c r="HN997" s="91"/>
      <c r="HO997" s="91"/>
      <c r="HP997" s="91"/>
      <c r="HQ997" s="91"/>
      <c r="HR997" s="91"/>
      <c r="HS997" s="91"/>
      <c r="HT997" s="91"/>
      <c r="HU997" s="91"/>
      <c r="HV997" s="91"/>
      <c r="HW997" s="91"/>
      <c r="HX997" s="91"/>
      <c r="HY997" s="91"/>
      <c r="HZ997" s="91"/>
      <c r="IA997" s="91"/>
      <c r="IB997" s="91"/>
      <c r="IC997" s="91"/>
      <c r="ID997" s="91"/>
      <c r="IE997" s="91"/>
    </row>
    <row r="998" spans="2:239" ht="15" x14ac:dyDescent="0.2">
      <c r="B998" s="91"/>
      <c r="C998" s="91"/>
      <c r="D998" s="91"/>
      <c r="E998" s="227"/>
      <c r="F998" s="91"/>
      <c r="G998" s="91"/>
      <c r="H998" s="91"/>
      <c r="I998" s="91"/>
      <c r="J998" s="91"/>
      <c r="K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c r="HV998" s="91"/>
      <c r="HW998" s="91"/>
      <c r="HX998" s="91"/>
      <c r="HY998" s="91"/>
      <c r="HZ998" s="91"/>
      <c r="IA998" s="91"/>
      <c r="IB998" s="91"/>
      <c r="IC998" s="91"/>
      <c r="ID998" s="91"/>
      <c r="IE998" s="91"/>
    </row>
    <row r="999" spans="2:239" ht="15" x14ac:dyDescent="0.2">
      <c r="B999" s="91"/>
      <c r="C999" s="91"/>
      <c r="D999" s="91"/>
      <c r="E999" s="227"/>
      <c r="F999" s="91"/>
      <c r="G999" s="91"/>
      <c r="H999" s="91"/>
      <c r="I999" s="91"/>
      <c r="J999" s="91"/>
      <c r="K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c r="GU999" s="91"/>
      <c r="GV999" s="91"/>
      <c r="GW999" s="91"/>
      <c r="GX999" s="91"/>
      <c r="GY999" s="91"/>
      <c r="GZ999" s="91"/>
      <c r="HA999" s="91"/>
      <c r="HB999" s="91"/>
      <c r="HC999" s="91"/>
      <c r="HD999" s="91"/>
      <c r="HE999" s="91"/>
      <c r="HF999" s="91"/>
      <c r="HG999" s="91"/>
      <c r="HH999" s="91"/>
      <c r="HI999" s="91"/>
      <c r="HJ999" s="91"/>
      <c r="HK999" s="91"/>
      <c r="HL999" s="91"/>
      <c r="HM999" s="91"/>
      <c r="HN999" s="91"/>
      <c r="HO999" s="91"/>
      <c r="HP999" s="91"/>
      <c r="HQ999" s="91"/>
      <c r="HR999" s="91"/>
      <c r="HS999" s="91"/>
      <c r="HT999" s="91"/>
      <c r="HU999" s="91"/>
      <c r="HV999" s="91"/>
      <c r="HW999" s="91"/>
      <c r="HX999" s="91"/>
      <c r="HY999" s="91"/>
      <c r="HZ999" s="91"/>
      <c r="IA999" s="91"/>
      <c r="IB999" s="91"/>
      <c r="IC999" s="91"/>
      <c r="ID999" s="91"/>
      <c r="IE999" s="91"/>
    </row>
    <row r="1000" spans="2:239" ht="15" x14ac:dyDescent="0.2">
      <c r="B1000" s="91"/>
      <c r="C1000" s="91"/>
      <c r="D1000" s="91"/>
      <c r="E1000" s="227"/>
      <c r="F1000" s="91"/>
      <c r="G1000" s="91"/>
      <c r="H1000" s="91"/>
      <c r="I1000" s="91"/>
      <c r="J1000" s="91"/>
      <c r="K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row>
    <row r="1001" spans="2:239" ht="15" x14ac:dyDescent="0.2">
      <c r="B1001" s="91"/>
      <c r="C1001" s="91"/>
      <c r="D1001" s="91"/>
      <c r="E1001" s="227"/>
      <c r="F1001" s="91"/>
      <c r="G1001" s="91"/>
      <c r="H1001" s="91"/>
      <c r="I1001" s="91"/>
      <c r="J1001" s="91"/>
      <c r="K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c r="GU1001" s="91"/>
      <c r="GV1001" s="91"/>
      <c r="GW1001" s="91"/>
      <c r="GX1001" s="91"/>
      <c r="GY1001" s="91"/>
      <c r="GZ1001" s="91"/>
      <c r="HA1001" s="91"/>
      <c r="HB1001" s="91"/>
      <c r="HC1001" s="91"/>
      <c r="HD1001" s="91"/>
      <c r="HE1001" s="91"/>
      <c r="HF1001" s="91"/>
      <c r="HG1001" s="91"/>
      <c r="HH1001" s="91"/>
      <c r="HI1001" s="91"/>
      <c r="HJ1001" s="91"/>
      <c r="HK1001" s="91"/>
      <c r="HL1001" s="91"/>
      <c r="HM1001" s="91"/>
      <c r="HN1001" s="91"/>
      <c r="HO1001" s="91"/>
      <c r="HP1001" s="91"/>
      <c r="HQ1001" s="91"/>
      <c r="HR1001" s="91"/>
      <c r="HS1001" s="91"/>
      <c r="HT1001" s="91"/>
      <c r="HU1001" s="91"/>
      <c r="HV1001" s="91"/>
      <c r="HW1001" s="91"/>
      <c r="HX1001" s="91"/>
      <c r="HY1001" s="91"/>
      <c r="HZ1001" s="91"/>
      <c r="IA1001" s="91"/>
      <c r="IB1001" s="91"/>
      <c r="IC1001" s="91"/>
      <c r="ID1001" s="91"/>
      <c r="IE1001" s="91"/>
    </row>
    <row r="1002" spans="2:239" ht="15" x14ac:dyDescent="0.2">
      <c r="B1002" s="91"/>
      <c r="C1002" s="91"/>
      <c r="D1002" s="91"/>
      <c r="E1002" s="227"/>
      <c r="F1002" s="91"/>
      <c r="G1002" s="91"/>
      <c r="H1002" s="91"/>
      <c r="I1002" s="91"/>
      <c r="J1002" s="91"/>
      <c r="K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c r="HV1002" s="91"/>
      <c r="HW1002" s="91"/>
      <c r="HX1002" s="91"/>
      <c r="HY1002" s="91"/>
      <c r="HZ1002" s="91"/>
      <c r="IA1002" s="91"/>
      <c r="IB1002" s="91"/>
      <c r="IC1002" s="91"/>
      <c r="ID1002" s="91"/>
      <c r="IE1002" s="91"/>
    </row>
    <row r="1003" spans="2:239" ht="15" x14ac:dyDescent="0.2">
      <c r="B1003" s="91"/>
      <c r="C1003" s="91"/>
      <c r="D1003" s="91"/>
      <c r="E1003" s="227"/>
      <c r="F1003" s="91"/>
      <c r="G1003" s="91"/>
      <c r="H1003" s="91"/>
      <c r="I1003" s="91"/>
      <c r="J1003" s="91"/>
      <c r="K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c r="GU1003" s="91"/>
      <c r="GV1003" s="91"/>
      <c r="GW1003" s="91"/>
      <c r="GX1003" s="91"/>
      <c r="GY1003" s="91"/>
      <c r="GZ1003" s="91"/>
      <c r="HA1003" s="91"/>
      <c r="HB1003" s="91"/>
      <c r="HC1003" s="91"/>
      <c r="HD1003" s="91"/>
      <c r="HE1003" s="91"/>
      <c r="HF1003" s="91"/>
      <c r="HG1003" s="91"/>
      <c r="HH1003" s="91"/>
      <c r="HI1003" s="91"/>
      <c r="HJ1003" s="91"/>
      <c r="HK1003" s="91"/>
      <c r="HL1003" s="91"/>
      <c r="HM1003" s="91"/>
      <c r="HN1003" s="91"/>
      <c r="HO1003" s="91"/>
      <c r="HP1003" s="91"/>
      <c r="HQ1003" s="91"/>
      <c r="HR1003" s="91"/>
      <c r="HS1003" s="91"/>
      <c r="HT1003" s="91"/>
      <c r="HU1003" s="91"/>
      <c r="HV1003" s="91"/>
      <c r="HW1003" s="91"/>
      <c r="HX1003" s="91"/>
      <c r="HY1003" s="91"/>
      <c r="HZ1003" s="91"/>
      <c r="IA1003" s="91"/>
      <c r="IB1003" s="91"/>
      <c r="IC1003" s="91"/>
      <c r="ID1003" s="91"/>
      <c r="IE1003" s="91"/>
    </row>
    <row r="1004" spans="2:239" ht="15" x14ac:dyDescent="0.2">
      <c r="B1004" s="91"/>
      <c r="C1004" s="91"/>
      <c r="D1004" s="91"/>
      <c r="E1004" s="227"/>
      <c r="F1004" s="91"/>
      <c r="G1004" s="91"/>
      <c r="H1004" s="91"/>
      <c r="I1004" s="91"/>
      <c r="J1004" s="91"/>
      <c r="K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c r="HV1004" s="91"/>
      <c r="HW1004" s="91"/>
      <c r="HX1004" s="91"/>
      <c r="HY1004" s="91"/>
      <c r="HZ1004" s="91"/>
      <c r="IA1004" s="91"/>
      <c r="IB1004" s="91"/>
      <c r="IC1004" s="91"/>
      <c r="ID1004" s="91"/>
      <c r="IE1004" s="91"/>
    </row>
    <row r="1005" spans="2:239" ht="15" x14ac:dyDescent="0.2">
      <c r="B1005" s="91"/>
      <c r="C1005" s="91"/>
      <c r="D1005" s="91"/>
      <c r="E1005" s="227"/>
      <c r="F1005" s="91"/>
      <c r="G1005" s="91"/>
      <c r="H1005" s="91"/>
      <c r="I1005" s="91"/>
      <c r="J1005" s="91"/>
      <c r="K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c r="GU1005" s="91"/>
      <c r="GV1005" s="91"/>
      <c r="GW1005" s="91"/>
      <c r="GX1005" s="91"/>
      <c r="GY1005" s="91"/>
      <c r="GZ1005" s="91"/>
      <c r="HA1005" s="91"/>
      <c r="HB1005" s="91"/>
      <c r="HC1005" s="91"/>
      <c r="HD1005" s="91"/>
      <c r="HE1005" s="91"/>
      <c r="HF1005" s="91"/>
      <c r="HG1005" s="91"/>
      <c r="HH1005" s="91"/>
      <c r="HI1005" s="91"/>
      <c r="HJ1005" s="91"/>
      <c r="HK1005" s="91"/>
      <c r="HL1005" s="91"/>
      <c r="HM1005" s="91"/>
      <c r="HN1005" s="91"/>
      <c r="HO1005" s="91"/>
      <c r="HP1005" s="91"/>
      <c r="HQ1005" s="91"/>
      <c r="HR1005" s="91"/>
      <c r="HS1005" s="91"/>
      <c r="HT1005" s="91"/>
      <c r="HU1005" s="91"/>
      <c r="HV1005" s="91"/>
      <c r="HW1005" s="91"/>
      <c r="HX1005" s="91"/>
      <c r="HY1005" s="91"/>
      <c r="HZ1005" s="91"/>
      <c r="IA1005" s="91"/>
      <c r="IB1005" s="91"/>
      <c r="IC1005" s="91"/>
      <c r="ID1005" s="91"/>
      <c r="IE1005" s="91"/>
    </row>
    <row r="1006" spans="2:239" ht="15" x14ac:dyDescent="0.2">
      <c r="B1006" s="91"/>
      <c r="C1006" s="91"/>
      <c r="D1006" s="91"/>
      <c r="E1006" s="227"/>
      <c r="F1006" s="91"/>
      <c r="G1006" s="91"/>
      <c r="H1006" s="91"/>
      <c r="I1006" s="91"/>
      <c r="J1006" s="91"/>
      <c r="K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c r="HV1006" s="91"/>
      <c r="HW1006" s="91"/>
      <c r="HX1006" s="91"/>
      <c r="HY1006" s="91"/>
      <c r="HZ1006" s="91"/>
      <c r="IA1006" s="91"/>
      <c r="IB1006" s="91"/>
      <c r="IC1006" s="91"/>
      <c r="ID1006" s="91"/>
      <c r="IE1006" s="91"/>
    </row>
    <row r="1007" spans="2:239" ht="15" x14ac:dyDescent="0.2">
      <c r="B1007" s="91"/>
      <c r="C1007" s="91"/>
      <c r="D1007" s="91"/>
      <c r="E1007" s="227"/>
      <c r="F1007" s="91"/>
      <c r="G1007" s="91"/>
      <c r="H1007" s="91"/>
      <c r="I1007" s="91"/>
      <c r="J1007" s="91"/>
      <c r="K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c r="GU1007" s="91"/>
      <c r="GV1007" s="91"/>
      <c r="GW1007" s="91"/>
      <c r="GX1007" s="91"/>
      <c r="GY1007" s="91"/>
      <c r="GZ1007" s="91"/>
      <c r="HA1007" s="91"/>
      <c r="HB1007" s="91"/>
      <c r="HC1007" s="91"/>
      <c r="HD1007" s="91"/>
      <c r="HE1007" s="91"/>
      <c r="HF1007" s="91"/>
      <c r="HG1007" s="91"/>
      <c r="HH1007" s="91"/>
      <c r="HI1007" s="91"/>
      <c r="HJ1007" s="91"/>
      <c r="HK1007" s="91"/>
      <c r="HL1007" s="91"/>
      <c r="HM1007" s="91"/>
      <c r="HN1007" s="91"/>
      <c r="HO1007" s="91"/>
      <c r="HP1007" s="91"/>
      <c r="HQ1007" s="91"/>
      <c r="HR1007" s="91"/>
      <c r="HS1007" s="91"/>
      <c r="HT1007" s="91"/>
      <c r="HU1007" s="91"/>
      <c r="HV1007" s="91"/>
      <c r="HW1007" s="91"/>
      <c r="HX1007" s="91"/>
      <c r="HY1007" s="91"/>
      <c r="HZ1007" s="91"/>
      <c r="IA1007" s="91"/>
      <c r="IB1007" s="91"/>
      <c r="IC1007" s="91"/>
      <c r="ID1007" s="91"/>
      <c r="IE1007" s="91"/>
    </row>
    <row r="1008" spans="2:239" ht="15" x14ac:dyDescent="0.2">
      <c r="B1008" s="91"/>
      <c r="C1008" s="91"/>
      <c r="D1008" s="91"/>
      <c r="E1008" s="227"/>
      <c r="F1008" s="91"/>
      <c r="G1008" s="91"/>
      <c r="H1008" s="91"/>
      <c r="I1008" s="91"/>
      <c r="J1008" s="91"/>
      <c r="K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c r="HV1008" s="91"/>
      <c r="HW1008" s="91"/>
      <c r="HX1008" s="91"/>
      <c r="HY1008" s="91"/>
      <c r="HZ1008" s="91"/>
      <c r="IA1008" s="91"/>
      <c r="IB1008" s="91"/>
      <c r="IC1008" s="91"/>
      <c r="ID1008" s="91"/>
      <c r="IE1008" s="91"/>
    </row>
    <row r="1009" spans="2:239" ht="15" x14ac:dyDescent="0.2">
      <c r="B1009" s="91"/>
      <c r="C1009" s="91"/>
      <c r="D1009" s="91"/>
      <c r="E1009" s="227"/>
      <c r="F1009" s="91"/>
      <c r="G1009" s="91"/>
      <c r="H1009" s="91"/>
      <c r="I1009" s="91"/>
      <c r="J1009" s="91"/>
      <c r="K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c r="GU1009" s="91"/>
      <c r="GV1009" s="91"/>
      <c r="GW1009" s="91"/>
      <c r="GX1009" s="91"/>
      <c r="GY1009" s="91"/>
      <c r="GZ1009" s="91"/>
      <c r="HA1009" s="91"/>
      <c r="HB1009" s="91"/>
      <c r="HC1009" s="91"/>
      <c r="HD1009" s="91"/>
      <c r="HE1009" s="91"/>
      <c r="HF1009" s="91"/>
      <c r="HG1009" s="91"/>
      <c r="HH1009" s="91"/>
      <c r="HI1009" s="91"/>
      <c r="HJ1009" s="91"/>
      <c r="HK1009" s="91"/>
      <c r="HL1009" s="91"/>
      <c r="HM1009" s="91"/>
      <c r="HN1009" s="91"/>
      <c r="HO1009" s="91"/>
      <c r="HP1009" s="91"/>
      <c r="HQ1009" s="91"/>
      <c r="HR1009" s="91"/>
      <c r="HS1009" s="91"/>
      <c r="HT1009" s="91"/>
      <c r="HU1009" s="91"/>
      <c r="HV1009" s="91"/>
      <c r="HW1009" s="91"/>
      <c r="HX1009" s="91"/>
      <c r="HY1009" s="91"/>
      <c r="HZ1009" s="91"/>
      <c r="IA1009" s="91"/>
      <c r="IB1009" s="91"/>
      <c r="IC1009" s="91"/>
      <c r="ID1009" s="91"/>
      <c r="IE1009" s="91"/>
    </row>
    <row r="1010" spans="2:239" ht="15" x14ac:dyDescent="0.2">
      <c r="B1010" s="91"/>
      <c r="C1010" s="91"/>
      <c r="D1010" s="91"/>
      <c r="E1010" s="227"/>
      <c r="F1010" s="91"/>
      <c r="G1010" s="91"/>
      <c r="H1010" s="91"/>
      <c r="I1010" s="91"/>
      <c r="J1010" s="91"/>
      <c r="K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c r="HV1010" s="91"/>
      <c r="HW1010" s="91"/>
      <c r="HX1010" s="91"/>
      <c r="HY1010" s="91"/>
      <c r="HZ1010" s="91"/>
      <c r="IA1010" s="91"/>
      <c r="IB1010" s="91"/>
      <c r="IC1010" s="91"/>
      <c r="ID1010" s="91"/>
      <c r="IE1010" s="91"/>
    </row>
    <row r="1011" spans="2:239" ht="15" x14ac:dyDescent="0.2">
      <c r="B1011" s="91"/>
      <c r="C1011" s="91"/>
      <c r="D1011" s="91"/>
      <c r="E1011" s="227"/>
      <c r="F1011" s="91"/>
      <c r="G1011" s="91"/>
      <c r="H1011" s="91"/>
      <c r="I1011" s="91"/>
      <c r="J1011" s="91"/>
      <c r="K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c r="GU1011" s="91"/>
      <c r="GV1011" s="91"/>
      <c r="GW1011" s="91"/>
      <c r="GX1011" s="91"/>
      <c r="GY1011" s="91"/>
      <c r="GZ1011" s="91"/>
      <c r="HA1011" s="91"/>
      <c r="HB1011" s="91"/>
      <c r="HC1011" s="91"/>
      <c r="HD1011" s="91"/>
      <c r="HE1011" s="91"/>
      <c r="HF1011" s="91"/>
      <c r="HG1011" s="91"/>
      <c r="HH1011" s="91"/>
      <c r="HI1011" s="91"/>
      <c r="HJ1011" s="91"/>
      <c r="HK1011" s="91"/>
      <c r="HL1011" s="91"/>
      <c r="HM1011" s="91"/>
      <c r="HN1011" s="91"/>
      <c r="HO1011" s="91"/>
      <c r="HP1011" s="91"/>
      <c r="HQ1011" s="91"/>
      <c r="HR1011" s="91"/>
      <c r="HS1011" s="91"/>
      <c r="HT1011" s="91"/>
      <c r="HU1011" s="91"/>
      <c r="HV1011" s="91"/>
      <c r="HW1011" s="91"/>
      <c r="HX1011" s="91"/>
      <c r="HY1011" s="91"/>
      <c r="HZ1011" s="91"/>
      <c r="IA1011" s="91"/>
      <c r="IB1011" s="91"/>
      <c r="IC1011" s="91"/>
      <c r="ID1011" s="91"/>
      <c r="IE1011" s="91"/>
    </row>
    <row r="1012" spans="2:239" ht="15" x14ac:dyDescent="0.2">
      <c r="B1012" s="91"/>
      <c r="C1012" s="91"/>
      <c r="D1012" s="91"/>
      <c r="E1012" s="227"/>
      <c r="F1012" s="91"/>
      <c r="G1012" s="91"/>
      <c r="H1012" s="91"/>
      <c r="I1012" s="91"/>
      <c r="J1012" s="91"/>
      <c r="K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row>
    <row r="1013" spans="2:239" ht="15" x14ac:dyDescent="0.2">
      <c r="B1013" s="91"/>
      <c r="C1013" s="91"/>
      <c r="D1013" s="91"/>
      <c r="E1013" s="227"/>
      <c r="F1013" s="91"/>
      <c r="G1013" s="91"/>
      <c r="H1013" s="91"/>
      <c r="I1013" s="91"/>
      <c r="J1013" s="91"/>
      <c r="K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c r="GU1013" s="91"/>
      <c r="GV1013" s="91"/>
      <c r="GW1013" s="91"/>
      <c r="GX1013" s="91"/>
      <c r="GY1013" s="91"/>
      <c r="GZ1013" s="91"/>
      <c r="HA1013" s="91"/>
      <c r="HB1013" s="91"/>
      <c r="HC1013" s="91"/>
      <c r="HD1013" s="91"/>
      <c r="HE1013" s="91"/>
      <c r="HF1013" s="91"/>
      <c r="HG1013" s="91"/>
      <c r="HH1013" s="91"/>
      <c r="HI1013" s="91"/>
      <c r="HJ1013" s="91"/>
      <c r="HK1013" s="91"/>
      <c r="HL1013" s="91"/>
      <c r="HM1013" s="91"/>
      <c r="HN1013" s="91"/>
      <c r="HO1013" s="91"/>
      <c r="HP1013" s="91"/>
      <c r="HQ1013" s="91"/>
      <c r="HR1013" s="91"/>
      <c r="HS1013" s="91"/>
      <c r="HT1013" s="91"/>
      <c r="HU1013" s="91"/>
      <c r="HV1013" s="91"/>
      <c r="HW1013" s="91"/>
      <c r="HX1013" s="91"/>
      <c r="HY1013" s="91"/>
      <c r="HZ1013" s="91"/>
      <c r="IA1013" s="91"/>
      <c r="IB1013" s="91"/>
      <c r="IC1013" s="91"/>
      <c r="ID1013" s="91"/>
      <c r="IE1013" s="91"/>
    </row>
    <row r="1014" spans="2:239" ht="15" x14ac:dyDescent="0.2">
      <c r="B1014" s="91"/>
      <c r="C1014" s="91"/>
      <c r="D1014" s="91"/>
      <c r="E1014" s="227"/>
      <c r="F1014" s="91"/>
      <c r="G1014" s="91"/>
      <c r="H1014" s="91"/>
      <c r="I1014" s="91"/>
      <c r="J1014" s="91"/>
      <c r="K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c r="HV1014" s="91"/>
      <c r="HW1014" s="91"/>
      <c r="HX1014" s="91"/>
      <c r="HY1014" s="91"/>
      <c r="HZ1014" s="91"/>
      <c r="IA1014" s="91"/>
      <c r="IB1014" s="91"/>
      <c r="IC1014" s="91"/>
      <c r="ID1014" s="91"/>
      <c r="IE1014" s="91"/>
    </row>
    <row r="1015" spans="2:239" ht="15" x14ac:dyDescent="0.2">
      <c r="B1015" s="91"/>
      <c r="C1015" s="91"/>
      <c r="D1015" s="91"/>
      <c r="E1015" s="227"/>
      <c r="F1015" s="91"/>
      <c r="G1015" s="91"/>
      <c r="H1015" s="91"/>
      <c r="I1015" s="91"/>
      <c r="J1015" s="91"/>
      <c r="K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c r="GU1015" s="91"/>
      <c r="GV1015" s="91"/>
      <c r="GW1015" s="91"/>
      <c r="GX1015" s="91"/>
      <c r="GY1015" s="91"/>
      <c r="GZ1015" s="91"/>
      <c r="HA1015" s="91"/>
      <c r="HB1015" s="91"/>
      <c r="HC1015" s="91"/>
      <c r="HD1015" s="91"/>
      <c r="HE1015" s="91"/>
      <c r="HF1015" s="91"/>
      <c r="HG1015" s="91"/>
      <c r="HH1015" s="91"/>
      <c r="HI1015" s="91"/>
      <c r="HJ1015" s="91"/>
      <c r="HK1015" s="91"/>
      <c r="HL1015" s="91"/>
      <c r="HM1015" s="91"/>
      <c r="HN1015" s="91"/>
      <c r="HO1015" s="91"/>
      <c r="HP1015" s="91"/>
      <c r="HQ1015" s="91"/>
      <c r="HR1015" s="91"/>
      <c r="HS1015" s="91"/>
      <c r="HT1015" s="91"/>
      <c r="HU1015" s="91"/>
      <c r="HV1015" s="91"/>
      <c r="HW1015" s="91"/>
      <c r="HX1015" s="91"/>
      <c r="HY1015" s="91"/>
      <c r="HZ1015" s="91"/>
      <c r="IA1015" s="91"/>
      <c r="IB1015" s="91"/>
      <c r="IC1015" s="91"/>
      <c r="ID1015" s="91"/>
      <c r="IE1015" s="91"/>
    </row>
    <row r="1016" spans="2:239" ht="15" x14ac:dyDescent="0.2">
      <c r="B1016" s="91"/>
      <c r="C1016" s="91"/>
      <c r="D1016" s="91"/>
      <c r="E1016" s="227"/>
      <c r="F1016" s="91"/>
      <c r="G1016" s="91"/>
      <c r="H1016" s="91"/>
      <c r="I1016" s="91"/>
      <c r="J1016" s="91"/>
      <c r="K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c r="HV1016" s="91"/>
      <c r="HW1016" s="91"/>
      <c r="HX1016" s="91"/>
      <c r="HY1016" s="91"/>
      <c r="HZ1016" s="91"/>
      <c r="IA1016" s="91"/>
      <c r="IB1016" s="91"/>
      <c r="IC1016" s="91"/>
      <c r="ID1016" s="91"/>
      <c r="IE1016" s="91"/>
    </row>
    <row r="1017" spans="2:239" ht="15" x14ac:dyDescent="0.2">
      <c r="B1017" s="91"/>
      <c r="C1017" s="91"/>
      <c r="D1017" s="91"/>
      <c r="E1017" s="227"/>
      <c r="F1017" s="91"/>
      <c r="G1017" s="91"/>
      <c r="H1017" s="91"/>
      <c r="I1017" s="91"/>
      <c r="J1017" s="91"/>
      <c r="K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c r="GU1017" s="91"/>
      <c r="GV1017" s="91"/>
      <c r="GW1017" s="91"/>
      <c r="GX1017" s="91"/>
      <c r="GY1017" s="91"/>
      <c r="GZ1017" s="91"/>
      <c r="HA1017" s="91"/>
      <c r="HB1017" s="91"/>
      <c r="HC1017" s="91"/>
      <c r="HD1017" s="91"/>
      <c r="HE1017" s="91"/>
      <c r="HF1017" s="91"/>
      <c r="HG1017" s="91"/>
      <c r="HH1017" s="91"/>
      <c r="HI1017" s="91"/>
      <c r="HJ1017" s="91"/>
      <c r="HK1017" s="91"/>
      <c r="HL1017" s="91"/>
      <c r="HM1017" s="91"/>
      <c r="HN1017" s="91"/>
      <c r="HO1017" s="91"/>
      <c r="HP1017" s="91"/>
      <c r="HQ1017" s="91"/>
      <c r="HR1017" s="91"/>
      <c r="HS1017" s="91"/>
      <c r="HT1017" s="91"/>
      <c r="HU1017" s="91"/>
      <c r="HV1017" s="91"/>
      <c r="HW1017" s="91"/>
      <c r="HX1017" s="91"/>
      <c r="HY1017" s="91"/>
      <c r="HZ1017" s="91"/>
      <c r="IA1017" s="91"/>
      <c r="IB1017" s="91"/>
      <c r="IC1017" s="91"/>
      <c r="ID1017" s="91"/>
      <c r="IE1017" s="91"/>
    </row>
    <row r="1018" spans="2:239" ht="15" x14ac:dyDescent="0.2">
      <c r="B1018" s="91"/>
      <c r="C1018" s="91"/>
      <c r="D1018" s="91"/>
      <c r="E1018" s="227"/>
      <c r="F1018" s="91"/>
      <c r="G1018" s="91"/>
      <c r="H1018" s="91"/>
      <c r="I1018" s="91"/>
      <c r="J1018" s="91"/>
      <c r="K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c r="HV1018" s="91"/>
      <c r="HW1018" s="91"/>
      <c r="HX1018" s="91"/>
      <c r="HY1018" s="91"/>
      <c r="HZ1018" s="91"/>
      <c r="IA1018" s="91"/>
      <c r="IB1018" s="91"/>
      <c r="IC1018" s="91"/>
      <c r="ID1018" s="91"/>
      <c r="IE1018" s="91"/>
    </row>
    <row r="1019" spans="2:239" ht="15" x14ac:dyDescent="0.2">
      <c r="B1019" s="91"/>
      <c r="C1019" s="91"/>
      <c r="D1019" s="91"/>
      <c r="E1019" s="227"/>
      <c r="F1019" s="91"/>
      <c r="G1019" s="91"/>
      <c r="H1019" s="91"/>
      <c r="I1019" s="91"/>
      <c r="J1019" s="91"/>
      <c r="K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c r="GU1019" s="91"/>
      <c r="GV1019" s="91"/>
      <c r="GW1019" s="91"/>
      <c r="GX1019" s="91"/>
      <c r="GY1019" s="91"/>
      <c r="GZ1019" s="91"/>
      <c r="HA1019" s="91"/>
      <c r="HB1019" s="91"/>
      <c r="HC1019" s="91"/>
      <c r="HD1019" s="91"/>
      <c r="HE1019" s="91"/>
      <c r="HF1019" s="91"/>
      <c r="HG1019" s="91"/>
      <c r="HH1019" s="91"/>
      <c r="HI1019" s="91"/>
      <c r="HJ1019" s="91"/>
      <c r="HK1019" s="91"/>
      <c r="HL1019" s="91"/>
      <c r="HM1019" s="91"/>
      <c r="HN1019" s="91"/>
      <c r="HO1019" s="91"/>
      <c r="HP1019" s="91"/>
      <c r="HQ1019" s="91"/>
      <c r="HR1019" s="91"/>
      <c r="HS1019" s="91"/>
      <c r="HT1019" s="91"/>
      <c r="HU1019" s="91"/>
      <c r="HV1019" s="91"/>
      <c r="HW1019" s="91"/>
      <c r="HX1019" s="91"/>
      <c r="HY1019" s="91"/>
      <c r="HZ1019" s="91"/>
      <c r="IA1019" s="91"/>
      <c r="IB1019" s="91"/>
      <c r="IC1019" s="91"/>
      <c r="ID1019" s="91"/>
      <c r="IE1019" s="91"/>
    </row>
    <row r="1020" spans="2:239" ht="15" x14ac:dyDescent="0.2">
      <c r="B1020" s="91"/>
      <c r="C1020" s="91"/>
      <c r="D1020" s="91"/>
      <c r="E1020" s="227"/>
      <c r="F1020" s="91"/>
      <c r="G1020" s="91"/>
      <c r="H1020" s="91"/>
      <c r="I1020" s="91"/>
      <c r="J1020" s="91"/>
      <c r="K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c r="HV1020" s="91"/>
      <c r="HW1020" s="91"/>
      <c r="HX1020" s="91"/>
      <c r="HY1020" s="91"/>
      <c r="HZ1020" s="91"/>
      <c r="IA1020" s="91"/>
      <c r="IB1020" s="91"/>
      <c r="IC1020" s="91"/>
      <c r="ID1020" s="91"/>
      <c r="IE1020" s="91"/>
    </row>
    <row r="1021" spans="2:239" ht="15" x14ac:dyDescent="0.2">
      <c r="B1021" s="91"/>
      <c r="C1021" s="91"/>
      <c r="D1021" s="91"/>
      <c r="E1021" s="227"/>
      <c r="F1021" s="91"/>
      <c r="G1021" s="91"/>
      <c r="H1021" s="91"/>
      <c r="I1021" s="91"/>
      <c r="J1021" s="91"/>
      <c r="K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c r="GU1021" s="91"/>
      <c r="GV1021" s="91"/>
      <c r="GW1021" s="91"/>
      <c r="GX1021" s="91"/>
      <c r="GY1021" s="91"/>
      <c r="GZ1021" s="91"/>
      <c r="HA1021" s="91"/>
      <c r="HB1021" s="91"/>
      <c r="HC1021" s="91"/>
      <c r="HD1021" s="91"/>
      <c r="HE1021" s="91"/>
      <c r="HF1021" s="91"/>
      <c r="HG1021" s="91"/>
      <c r="HH1021" s="91"/>
      <c r="HI1021" s="91"/>
      <c r="HJ1021" s="91"/>
      <c r="HK1021" s="91"/>
      <c r="HL1021" s="91"/>
      <c r="HM1021" s="91"/>
      <c r="HN1021" s="91"/>
      <c r="HO1021" s="91"/>
      <c r="HP1021" s="91"/>
      <c r="HQ1021" s="91"/>
      <c r="HR1021" s="91"/>
      <c r="HS1021" s="91"/>
      <c r="HT1021" s="91"/>
      <c r="HU1021" s="91"/>
      <c r="HV1021" s="91"/>
      <c r="HW1021" s="91"/>
      <c r="HX1021" s="91"/>
      <c r="HY1021" s="91"/>
      <c r="HZ1021" s="91"/>
      <c r="IA1021" s="91"/>
      <c r="IB1021" s="91"/>
      <c r="IC1021" s="91"/>
      <c r="ID1021" s="91"/>
      <c r="IE1021" s="91"/>
    </row>
    <row r="1022" spans="2:239" ht="15" x14ac:dyDescent="0.2">
      <c r="B1022" s="91"/>
      <c r="C1022" s="91"/>
      <c r="D1022" s="91"/>
      <c r="E1022" s="227"/>
      <c r="F1022" s="91"/>
      <c r="G1022" s="91"/>
      <c r="H1022" s="91"/>
      <c r="I1022" s="91"/>
      <c r="J1022" s="91"/>
      <c r="K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c r="HV1022" s="91"/>
      <c r="HW1022" s="91"/>
      <c r="HX1022" s="91"/>
      <c r="HY1022" s="91"/>
      <c r="HZ1022" s="91"/>
      <c r="IA1022" s="91"/>
      <c r="IB1022" s="91"/>
      <c r="IC1022" s="91"/>
      <c r="ID1022" s="91"/>
      <c r="IE1022" s="91"/>
    </row>
    <row r="1023" spans="2:239" ht="15" x14ac:dyDescent="0.2">
      <c r="B1023" s="91"/>
      <c r="C1023" s="91"/>
      <c r="D1023" s="91"/>
      <c r="E1023" s="227"/>
      <c r="F1023" s="91"/>
      <c r="G1023" s="91"/>
      <c r="H1023" s="91"/>
      <c r="I1023" s="91"/>
      <c r="J1023" s="91"/>
      <c r="K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c r="GU1023" s="91"/>
      <c r="GV1023" s="91"/>
      <c r="GW1023" s="91"/>
      <c r="GX1023" s="91"/>
      <c r="GY1023" s="91"/>
      <c r="GZ1023" s="91"/>
      <c r="HA1023" s="91"/>
      <c r="HB1023" s="91"/>
      <c r="HC1023" s="91"/>
      <c r="HD1023" s="91"/>
      <c r="HE1023" s="91"/>
      <c r="HF1023" s="91"/>
      <c r="HG1023" s="91"/>
      <c r="HH1023" s="91"/>
      <c r="HI1023" s="91"/>
      <c r="HJ1023" s="91"/>
      <c r="HK1023" s="91"/>
      <c r="HL1023" s="91"/>
      <c r="HM1023" s="91"/>
      <c r="HN1023" s="91"/>
      <c r="HO1023" s="91"/>
      <c r="HP1023" s="91"/>
      <c r="HQ1023" s="91"/>
      <c r="HR1023" s="91"/>
      <c r="HS1023" s="91"/>
      <c r="HT1023" s="91"/>
      <c r="HU1023" s="91"/>
      <c r="HV1023" s="91"/>
      <c r="HW1023" s="91"/>
      <c r="HX1023" s="91"/>
      <c r="HY1023" s="91"/>
      <c r="HZ1023" s="91"/>
      <c r="IA1023" s="91"/>
      <c r="IB1023" s="91"/>
      <c r="IC1023" s="91"/>
      <c r="ID1023" s="91"/>
      <c r="IE1023" s="91"/>
    </row>
    <row r="1024" spans="2:239" ht="15" x14ac:dyDescent="0.2">
      <c r="B1024" s="91"/>
      <c r="C1024" s="91"/>
      <c r="D1024" s="91"/>
      <c r="E1024" s="227"/>
      <c r="F1024" s="91"/>
      <c r="G1024" s="91"/>
      <c r="H1024" s="91"/>
      <c r="I1024" s="91"/>
      <c r="J1024" s="91"/>
      <c r="K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c r="GU1024" s="91"/>
      <c r="GV1024" s="91"/>
      <c r="GW1024" s="91"/>
      <c r="GX1024" s="91"/>
      <c r="GY1024" s="91"/>
      <c r="GZ1024" s="91"/>
      <c r="HA1024" s="91"/>
      <c r="HB1024" s="91"/>
      <c r="HC1024" s="91"/>
      <c r="HD1024" s="91"/>
      <c r="HE1024" s="91"/>
      <c r="HF1024" s="91"/>
      <c r="HG1024" s="91"/>
      <c r="HH1024" s="91"/>
      <c r="HI1024" s="91"/>
      <c r="HJ1024" s="91"/>
      <c r="HK1024" s="91"/>
      <c r="HL1024" s="91"/>
      <c r="HM1024" s="91"/>
      <c r="HN1024" s="91"/>
      <c r="HO1024" s="91"/>
      <c r="HP1024" s="91"/>
      <c r="HQ1024" s="91"/>
      <c r="HR1024" s="91"/>
      <c r="HS1024" s="91"/>
      <c r="HT1024" s="91"/>
      <c r="HU1024" s="91"/>
      <c r="HV1024" s="91"/>
      <c r="HW1024" s="91"/>
      <c r="HX1024" s="91"/>
      <c r="HY1024" s="91"/>
      <c r="HZ1024" s="91"/>
      <c r="IA1024" s="91"/>
      <c r="IB1024" s="91"/>
      <c r="IC1024" s="91"/>
      <c r="ID1024" s="91"/>
      <c r="IE1024" s="91"/>
    </row>
    <row r="1025" spans="2:239" ht="15" x14ac:dyDescent="0.2">
      <c r="B1025" s="91"/>
      <c r="C1025" s="91"/>
      <c r="D1025" s="91"/>
      <c r="E1025" s="227"/>
      <c r="F1025" s="91"/>
      <c r="G1025" s="91"/>
      <c r="H1025" s="91"/>
      <c r="I1025" s="91"/>
      <c r="J1025" s="91"/>
      <c r="K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c r="FG1025" s="91"/>
      <c r="FH1025" s="91"/>
      <c r="FI1025" s="91"/>
      <c r="FJ1025" s="91"/>
      <c r="FK1025" s="91"/>
      <c r="FL1025" s="91"/>
      <c r="FM1025" s="91"/>
      <c r="FN1025" s="91"/>
      <c r="FO1025" s="91"/>
      <c r="FP1025" s="91"/>
      <c r="FQ1025" s="91"/>
      <c r="FR1025" s="91"/>
      <c r="FS1025" s="91"/>
      <c r="FT1025" s="91"/>
      <c r="FU1025" s="91"/>
      <c r="FV1025" s="91"/>
      <c r="FW1025" s="91"/>
      <c r="FX1025" s="91"/>
      <c r="FY1025" s="91"/>
      <c r="FZ1025" s="91"/>
      <c r="GA1025" s="91"/>
      <c r="GB1025" s="91"/>
      <c r="GC1025" s="91"/>
      <c r="GD1025" s="91"/>
      <c r="GE1025" s="91"/>
      <c r="GF1025" s="91"/>
      <c r="GG1025" s="91"/>
      <c r="GH1025" s="91"/>
      <c r="GI1025" s="91"/>
      <c r="GJ1025" s="91"/>
      <c r="GK1025" s="91"/>
      <c r="GL1025" s="91"/>
      <c r="GM1025" s="91"/>
      <c r="GN1025" s="91"/>
      <c r="GO1025" s="91"/>
      <c r="GP1025" s="91"/>
      <c r="GQ1025" s="91"/>
      <c r="GR1025" s="91"/>
      <c r="GS1025" s="91"/>
      <c r="GT1025" s="91"/>
      <c r="GU1025" s="91"/>
      <c r="GV1025" s="91"/>
      <c r="GW1025" s="91"/>
      <c r="GX1025" s="91"/>
      <c r="GY1025" s="91"/>
      <c r="GZ1025" s="91"/>
      <c r="HA1025" s="91"/>
      <c r="HB1025" s="91"/>
      <c r="HC1025" s="91"/>
      <c r="HD1025" s="91"/>
      <c r="HE1025" s="91"/>
      <c r="HF1025" s="91"/>
      <c r="HG1025" s="91"/>
      <c r="HH1025" s="91"/>
      <c r="HI1025" s="91"/>
      <c r="HJ1025" s="91"/>
      <c r="HK1025" s="91"/>
      <c r="HL1025" s="91"/>
      <c r="HM1025" s="91"/>
      <c r="HN1025" s="91"/>
      <c r="HO1025" s="91"/>
      <c r="HP1025" s="91"/>
      <c r="HQ1025" s="91"/>
      <c r="HR1025" s="91"/>
      <c r="HS1025" s="91"/>
      <c r="HT1025" s="91"/>
      <c r="HU1025" s="91"/>
      <c r="HV1025" s="91"/>
      <c r="HW1025" s="91"/>
      <c r="HX1025" s="91"/>
      <c r="HY1025" s="91"/>
      <c r="HZ1025" s="91"/>
      <c r="IA1025" s="91"/>
      <c r="IB1025" s="91"/>
      <c r="IC1025" s="91"/>
      <c r="ID1025" s="91"/>
      <c r="IE1025" s="91"/>
    </row>
    <row r="1026" spans="2:239" ht="15" x14ac:dyDescent="0.2">
      <c r="B1026" s="91"/>
      <c r="C1026" s="91"/>
      <c r="D1026" s="91"/>
      <c r="E1026" s="227"/>
      <c r="F1026" s="91"/>
      <c r="G1026" s="91"/>
      <c r="H1026" s="91"/>
      <c r="I1026" s="91"/>
      <c r="J1026" s="91"/>
      <c r="K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c r="GU1026" s="91"/>
      <c r="GV1026" s="91"/>
      <c r="GW1026" s="91"/>
      <c r="GX1026" s="91"/>
      <c r="GY1026" s="91"/>
      <c r="GZ1026" s="91"/>
      <c r="HA1026" s="91"/>
      <c r="HB1026" s="91"/>
      <c r="HC1026" s="91"/>
      <c r="HD1026" s="91"/>
      <c r="HE1026" s="91"/>
      <c r="HF1026" s="91"/>
      <c r="HG1026" s="91"/>
      <c r="HH1026" s="91"/>
      <c r="HI1026" s="91"/>
      <c r="HJ1026" s="91"/>
      <c r="HK1026" s="91"/>
      <c r="HL1026" s="91"/>
      <c r="HM1026" s="91"/>
      <c r="HN1026" s="91"/>
      <c r="HO1026" s="91"/>
      <c r="HP1026" s="91"/>
      <c r="HQ1026" s="91"/>
      <c r="HR1026" s="91"/>
      <c r="HS1026" s="91"/>
      <c r="HT1026" s="91"/>
      <c r="HU1026" s="91"/>
      <c r="HV1026" s="91"/>
      <c r="HW1026" s="91"/>
      <c r="HX1026" s="91"/>
      <c r="HY1026" s="91"/>
      <c r="HZ1026" s="91"/>
      <c r="IA1026" s="91"/>
      <c r="IB1026" s="91"/>
      <c r="IC1026" s="91"/>
      <c r="ID1026" s="91"/>
      <c r="IE1026" s="91"/>
    </row>
    <row r="1027" spans="2:239" ht="15" x14ac:dyDescent="0.2">
      <c r="B1027" s="91"/>
      <c r="C1027" s="91"/>
      <c r="D1027" s="91"/>
      <c r="E1027" s="227"/>
      <c r="F1027" s="91"/>
      <c r="G1027" s="91"/>
      <c r="H1027" s="91"/>
      <c r="I1027" s="91"/>
      <c r="J1027" s="91"/>
      <c r="K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c r="FG1027" s="91"/>
      <c r="FH1027" s="91"/>
      <c r="FI1027" s="91"/>
      <c r="FJ1027" s="91"/>
      <c r="FK1027" s="91"/>
      <c r="FL1027" s="91"/>
      <c r="FM1027" s="91"/>
      <c r="FN1027" s="91"/>
      <c r="FO1027" s="91"/>
      <c r="FP1027" s="91"/>
      <c r="FQ1027" s="91"/>
      <c r="FR1027" s="91"/>
      <c r="FS1027" s="91"/>
      <c r="FT1027" s="91"/>
      <c r="FU1027" s="91"/>
      <c r="FV1027" s="91"/>
      <c r="FW1027" s="91"/>
      <c r="FX1027" s="91"/>
      <c r="FY1027" s="91"/>
      <c r="FZ1027" s="91"/>
      <c r="GA1027" s="91"/>
      <c r="GB1027" s="91"/>
      <c r="GC1027" s="91"/>
      <c r="GD1027" s="91"/>
      <c r="GE1027" s="91"/>
      <c r="GF1027" s="91"/>
      <c r="GG1027" s="91"/>
      <c r="GH1027" s="91"/>
      <c r="GI1027" s="91"/>
      <c r="GJ1027" s="91"/>
      <c r="GK1027" s="91"/>
      <c r="GL1027" s="91"/>
      <c r="GM1027" s="91"/>
      <c r="GN1027" s="91"/>
      <c r="GO1027" s="91"/>
      <c r="GP1027" s="91"/>
      <c r="GQ1027" s="91"/>
      <c r="GR1027" s="91"/>
      <c r="GS1027" s="91"/>
      <c r="GT1027" s="91"/>
      <c r="GU1027" s="91"/>
      <c r="GV1027" s="91"/>
      <c r="GW1027" s="91"/>
      <c r="GX1027" s="91"/>
      <c r="GY1027" s="91"/>
      <c r="GZ1027" s="91"/>
      <c r="HA1027" s="91"/>
      <c r="HB1027" s="91"/>
      <c r="HC1027" s="91"/>
      <c r="HD1027" s="91"/>
      <c r="HE1027" s="91"/>
      <c r="HF1027" s="91"/>
      <c r="HG1027" s="91"/>
      <c r="HH1027" s="91"/>
      <c r="HI1027" s="91"/>
      <c r="HJ1027" s="91"/>
      <c r="HK1027" s="91"/>
      <c r="HL1027" s="91"/>
      <c r="HM1027" s="91"/>
      <c r="HN1027" s="91"/>
      <c r="HO1027" s="91"/>
      <c r="HP1027" s="91"/>
      <c r="HQ1027" s="91"/>
      <c r="HR1027" s="91"/>
      <c r="HS1027" s="91"/>
      <c r="HT1027" s="91"/>
      <c r="HU1027" s="91"/>
      <c r="HV1027" s="91"/>
      <c r="HW1027" s="91"/>
      <c r="HX1027" s="91"/>
      <c r="HY1027" s="91"/>
      <c r="HZ1027" s="91"/>
      <c r="IA1027" s="91"/>
      <c r="IB1027" s="91"/>
      <c r="IC1027" s="91"/>
      <c r="ID1027" s="91"/>
      <c r="IE1027" s="91"/>
    </row>
    <row r="1028" spans="2:239" ht="15" x14ac:dyDescent="0.2">
      <c r="B1028" s="91"/>
      <c r="C1028" s="91"/>
      <c r="D1028" s="91"/>
      <c r="E1028" s="227"/>
      <c r="F1028" s="91"/>
      <c r="G1028" s="91"/>
      <c r="H1028" s="91"/>
      <c r="I1028" s="91"/>
      <c r="J1028" s="91"/>
      <c r="K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c r="GU1028" s="91"/>
      <c r="GV1028" s="91"/>
      <c r="GW1028" s="91"/>
      <c r="GX1028" s="91"/>
      <c r="GY1028" s="91"/>
      <c r="GZ1028" s="91"/>
      <c r="HA1028" s="91"/>
      <c r="HB1028" s="91"/>
      <c r="HC1028" s="91"/>
      <c r="HD1028" s="91"/>
      <c r="HE1028" s="91"/>
      <c r="HF1028" s="91"/>
      <c r="HG1028" s="91"/>
      <c r="HH1028" s="91"/>
      <c r="HI1028" s="91"/>
      <c r="HJ1028" s="91"/>
      <c r="HK1028" s="91"/>
      <c r="HL1028" s="91"/>
      <c r="HM1028" s="91"/>
      <c r="HN1028" s="91"/>
      <c r="HO1028" s="91"/>
      <c r="HP1028" s="91"/>
      <c r="HQ1028" s="91"/>
      <c r="HR1028" s="91"/>
      <c r="HS1028" s="91"/>
      <c r="HT1028" s="91"/>
      <c r="HU1028" s="91"/>
      <c r="HV1028" s="91"/>
      <c r="HW1028" s="91"/>
      <c r="HX1028" s="91"/>
      <c r="HY1028" s="91"/>
      <c r="HZ1028" s="91"/>
      <c r="IA1028" s="91"/>
      <c r="IB1028" s="91"/>
      <c r="IC1028" s="91"/>
      <c r="ID1028" s="91"/>
      <c r="IE1028" s="91"/>
    </row>
    <row r="1029" spans="2:239" ht="15" x14ac:dyDescent="0.2">
      <c r="B1029" s="91"/>
      <c r="C1029" s="91"/>
      <c r="D1029" s="91"/>
      <c r="E1029" s="227"/>
      <c r="F1029" s="91"/>
      <c r="G1029" s="91"/>
      <c r="H1029" s="91"/>
      <c r="I1029" s="91"/>
      <c r="J1029" s="91"/>
      <c r="K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c r="FG1029" s="91"/>
      <c r="FH1029" s="91"/>
      <c r="FI1029" s="91"/>
      <c r="FJ1029" s="91"/>
      <c r="FK1029" s="91"/>
      <c r="FL1029" s="91"/>
      <c r="FM1029" s="91"/>
      <c r="FN1029" s="91"/>
      <c r="FO1029" s="91"/>
      <c r="FP1029" s="91"/>
      <c r="FQ1029" s="91"/>
      <c r="FR1029" s="91"/>
      <c r="FS1029" s="91"/>
      <c r="FT1029" s="91"/>
      <c r="FU1029" s="91"/>
      <c r="FV1029" s="91"/>
      <c r="FW1029" s="91"/>
      <c r="FX1029" s="91"/>
      <c r="FY1029" s="91"/>
      <c r="FZ1029" s="91"/>
      <c r="GA1029" s="91"/>
      <c r="GB1029" s="91"/>
      <c r="GC1029" s="91"/>
      <c r="GD1029" s="91"/>
      <c r="GE1029" s="91"/>
      <c r="GF1029" s="91"/>
      <c r="GG1029" s="91"/>
      <c r="GH1029" s="91"/>
      <c r="GI1029" s="91"/>
      <c r="GJ1029" s="91"/>
      <c r="GK1029" s="91"/>
      <c r="GL1029" s="91"/>
      <c r="GM1029" s="91"/>
      <c r="GN1029" s="91"/>
      <c r="GO1029" s="91"/>
      <c r="GP1029" s="91"/>
      <c r="GQ1029" s="91"/>
      <c r="GR1029" s="91"/>
      <c r="GS1029" s="91"/>
      <c r="GT1029" s="91"/>
      <c r="GU1029" s="91"/>
      <c r="GV1029" s="91"/>
      <c r="GW1029" s="91"/>
      <c r="GX1029" s="91"/>
      <c r="GY1029" s="91"/>
      <c r="GZ1029" s="91"/>
      <c r="HA1029" s="91"/>
      <c r="HB1029" s="91"/>
      <c r="HC1029" s="91"/>
      <c r="HD1029" s="91"/>
      <c r="HE1029" s="91"/>
      <c r="HF1029" s="91"/>
      <c r="HG1029" s="91"/>
      <c r="HH1029" s="91"/>
      <c r="HI1029" s="91"/>
      <c r="HJ1029" s="91"/>
      <c r="HK1029" s="91"/>
      <c r="HL1029" s="91"/>
      <c r="HM1029" s="91"/>
      <c r="HN1029" s="91"/>
      <c r="HO1029" s="91"/>
      <c r="HP1029" s="91"/>
      <c r="HQ1029" s="91"/>
      <c r="HR1029" s="91"/>
      <c r="HS1029" s="91"/>
      <c r="HT1029" s="91"/>
      <c r="HU1029" s="91"/>
      <c r="HV1029" s="91"/>
      <c r="HW1029" s="91"/>
      <c r="HX1029" s="91"/>
      <c r="HY1029" s="91"/>
      <c r="HZ1029" s="91"/>
      <c r="IA1029" s="91"/>
      <c r="IB1029" s="91"/>
      <c r="IC1029" s="91"/>
      <c r="ID1029" s="91"/>
      <c r="IE1029" s="91"/>
    </row>
    <row r="1030" spans="2:239" ht="15" x14ac:dyDescent="0.2">
      <c r="B1030" s="91"/>
      <c r="C1030" s="91"/>
      <c r="D1030" s="91"/>
      <c r="E1030" s="227"/>
      <c r="F1030" s="91"/>
      <c r="G1030" s="91"/>
      <c r="H1030" s="91"/>
      <c r="I1030" s="91"/>
      <c r="J1030" s="91"/>
      <c r="K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row>
    <row r="1031" spans="2:239" ht="15" x14ac:dyDescent="0.2">
      <c r="B1031" s="91"/>
      <c r="C1031" s="91"/>
      <c r="D1031" s="91"/>
      <c r="E1031" s="227"/>
      <c r="F1031" s="91"/>
      <c r="G1031" s="91"/>
      <c r="H1031" s="91"/>
      <c r="I1031" s="91"/>
      <c r="J1031" s="91"/>
      <c r="K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c r="FG1031" s="91"/>
      <c r="FH1031" s="91"/>
      <c r="FI1031" s="91"/>
      <c r="FJ1031" s="91"/>
      <c r="FK1031" s="91"/>
      <c r="FL1031" s="91"/>
      <c r="FM1031" s="91"/>
      <c r="FN1031" s="91"/>
      <c r="FO1031" s="91"/>
      <c r="FP1031" s="91"/>
      <c r="FQ1031" s="91"/>
      <c r="FR1031" s="91"/>
      <c r="FS1031" s="91"/>
      <c r="FT1031" s="91"/>
      <c r="FU1031" s="91"/>
      <c r="FV1031" s="91"/>
      <c r="FW1031" s="91"/>
      <c r="FX1031" s="91"/>
      <c r="FY1031" s="91"/>
      <c r="FZ1031" s="91"/>
      <c r="GA1031" s="91"/>
      <c r="GB1031" s="91"/>
      <c r="GC1031" s="91"/>
      <c r="GD1031" s="91"/>
      <c r="GE1031" s="91"/>
      <c r="GF1031" s="91"/>
      <c r="GG1031" s="91"/>
      <c r="GH1031" s="91"/>
      <c r="GI1031" s="91"/>
      <c r="GJ1031" s="91"/>
      <c r="GK1031" s="91"/>
      <c r="GL1031" s="91"/>
      <c r="GM1031" s="91"/>
      <c r="GN1031" s="91"/>
      <c r="GO1031" s="91"/>
      <c r="GP1031" s="91"/>
      <c r="GQ1031" s="91"/>
      <c r="GR1031" s="91"/>
      <c r="GS1031" s="91"/>
      <c r="GT1031" s="91"/>
      <c r="GU1031" s="91"/>
      <c r="GV1031" s="91"/>
      <c r="GW1031" s="91"/>
      <c r="GX1031" s="91"/>
      <c r="GY1031" s="91"/>
      <c r="GZ1031" s="91"/>
      <c r="HA1031" s="91"/>
      <c r="HB1031" s="91"/>
      <c r="HC1031" s="91"/>
      <c r="HD1031" s="91"/>
      <c r="HE1031" s="91"/>
      <c r="HF1031" s="91"/>
      <c r="HG1031" s="91"/>
      <c r="HH1031" s="91"/>
      <c r="HI1031" s="91"/>
      <c r="HJ1031" s="91"/>
      <c r="HK1031" s="91"/>
      <c r="HL1031" s="91"/>
      <c r="HM1031" s="91"/>
      <c r="HN1031" s="91"/>
      <c r="HO1031" s="91"/>
      <c r="HP1031" s="91"/>
      <c r="HQ1031" s="91"/>
      <c r="HR1031" s="91"/>
      <c r="HS1031" s="91"/>
      <c r="HT1031" s="91"/>
      <c r="HU1031" s="91"/>
      <c r="HV1031" s="91"/>
      <c r="HW1031" s="91"/>
      <c r="HX1031" s="91"/>
      <c r="HY1031" s="91"/>
      <c r="HZ1031" s="91"/>
      <c r="IA1031" s="91"/>
      <c r="IB1031" s="91"/>
      <c r="IC1031" s="91"/>
      <c r="ID1031" s="91"/>
      <c r="IE1031" s="91"/>
    </row>
    <row r="1032" spans="2:239" ht="15" x14ac:dyDescent="0.2">
      <c r="B1032" s="91"/>
      <c r="C1032" s="91"/>
      <c r="D1032" s="91"/>
      <c r="E1032" s="227"/>
      <c r="F1032" s="91"/>
      <c r="G1032" s="91"/>
      <c r="H1032" s="91"/>
      <c r="I1032" s="91"/>
      <c r="J1032" s="91"/>
      <c r="K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c r="GU1032" s="91"/>
      <c r="GV1032" s="91"/>
      <c r="GW1032" s="91"/>
      <c r="GX1032" s="91"/>
      <c r="GY1032" s="91"/>
      <c r="GZ1032" s="91"/>
      <c r="HA1032" s="91"/>
      <c r="HB1032" s="91"/>
      <c r="HC1032" s="91"/>
      <c r="HD1032" s="91"/>
      <c r="HE1032" s="91"/>
      <c r="HF1032" s="91"/>
      <c r="HG1032" s="91"/>
      <c r="HH1032" s="91"/>
      <c r="HI1032" s="91"/>
      <c r="HJ1032" s="91"/>
      <c r="HK1032" s="91"/>
      <c r="HL1032" s="91"/>
      <c r="HM1032" s="91"/>
      <c r="HN1032" s="91"/>
      <c r="HO1032" s="91"/>
      <c r="HP1032" s="91"/>
      <c r="HQ1032" s="91"/>
      <c r="HR1032" s="91"/>
      <c r="HS1032" s="91"/>
      <c r="HT1032" s="91"/>
      <c r="HU1032" s="91"/>
      <c r="HV1032" s="91"/>
      <c r="HW1032" s="91"/>
      <c r="HX1032" s="91"/>
      <c r="HY1032" s="91"/>
      <c r="HZ1032" s="91"/>
      <c r="IA1032" s="91"/>
      <c r="IB1032" s="91"/>
      <c r="IC1032" s="91"/>
      <c r="ID1032" s="91"/>
      <c r="IE1032" s="91"/>
    </row>
    <row r="1033" spans="2:239" ht="15" x14ac:dyDescent="0.2">
      <c r="B1033" s="91"/>
      <c r="C1033" s="91"/>
      <c r="D1033" s="91"/>
      <c r="E1033" s="227"/>
      <c r="F1033" s="91"/>
      <c r="G1033" s="91"/>
      <c r="H1033" s="91"/>
      <c r="I1033" s="91"/>
      <c r="J1033" s="91"/>
      <c r="K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c r="FG1033" s="91"/>
      <c r="FH1033" s="91"/>
      <c r="FI1033" s="91"/>
      <c r="FJ1033" s="91"/>
      <c r="FK1033" s="91"/>
      <c r="FL1033" s="91"/>
      <c r="FM1033" s="91"/>
      <c r="FN1033" s="91"/>
      <c r="FO1033" s="91"/>
      <c r="FP1033" s="91"/>
      <c r="FQ1033" s="91"/>
      <c r="FR1033" s="91"/>
      <c r="FS1033" s="91"/>
      <c r="FT1033" s="91"/>
      <c r="FU1033" s="91"/>
      <c r="FV1033" s="91"/>
      <c r="FW1033" s="91"/>
      <c r="FX1033" s="91"/>
      <c r="FY1033" s="91"/>
      <c r="FZ1033" s="91"/>
      <c r="GA1033" s="91"/>
      <c r="GB1033" s="91"/>
      <c r="GC1033" s="91"/>
      <c r="GD1033" s="91"/>
      <c r="GE1033" s="91"/>
      <c r="GF1033" s="91"/>
      <c r="GG1033" s="91"/>
      <c r="GH1033" s="91"/>
      <c r="GI1033" s="91"/>
      <c r="GJ1033" s="91"/>
      <c r="GK1033" s="91"/>
      <c r="GL1033" s="91"/>
      <c r="GM1033" s="91"/>
      <c r="GN1033" s="91"/>
      <c r="GO1033" s="91"/>
      <c r="GP1033" s="91"/>
      <c r="GQ1033" s="91"/>
      <c r="GR1033" s="91"/>
      <c r="GS1033" s="91"/>
      <c r="GT1033" s="91"/>
      <c r="GU1033" s="91"/>
      <c r="GV1033" s="91"/>
      <c r="GW1033" s="91"/>
      <c r="GX1033" s="91"/>
      <c r="GY1033" s="91"/>
      <c r="GZ1033" s="91"/>
      <c r="HA1033" s="91"/>
      <c r="HB1033" s="91"/>
      <c r="HC1033" s="91"/>
      <c r="HD1033" s="91"/>
      <c r="HE1033" s="91"/>
      <c r="HF1033" s="91"/>
      <c r="HG1033" s="91"/>
      <c r="HH1033" s="91"/>
      <c r="HI1033" s="91"/>
      <c r="HJ1033" s="91"/>
      <c r="HK1033" s="91"/>
      <c r="HL1033" s="91"/>
      <c r="HM1033" s="91"/>
      <c r="HN1033" s="91"/>
      <c r="HO1033" s="91"/>
      <c r="HP1033" s="91"/>
      <c r="HQ1033" s="91"/>
      <c r="HR1033" s="91"/>
      <c r="HS1033" s="91"/>
      <c r="HT1033" s="91"/>
      <c r="HU1033" s="91"/>
      <c r="HV1033" s="91"/>
      <c r="HW1033" s="91"/>
      <c r="HX1033" s="91"/>
      <c r="HY1033" s="91"/>
      <c r="HZ1033" s="91"/>
      <c r="IA1033" s="91"/>
      <c r="IB1033" s="91"/>
      <c r="IC1033" s="91"/>
      <c r="ID1033" s="91"/>
      <c r="IE1033" s="91"/>
    </row>
    <row r="1034" spans="2:239" ht="15" x14ac:dyDescent="0.2">
      <c r="B1034" s="91"/>
      <c r="C1034" s="91"/>
      <c r="D1034" s="91"/>
      <c r="E1034" s="227"/>
      <c r="F1034" s="91"/>
      <c r="G1034" s="91"/>
      <c r="H1034" s="91"/>
      <c r="I1034" s="91"/>
      <c r="J1034" s="91"/>
      <c r="K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c r="GU1034" s="91"/>
      <c r="GV1034" s="91"/>
      <c r="GW1034" s="91"/>
      <c r="GX1034" s="91"/>
      <c r="GY1034" s="91"/>
      <c r="GZ1034" s="91"/>
      <c r="HA1034" s="91"/>
      <c r="HB1034" s="91"/>
      <c r="HC1034" s="91"/>
      <c r="HD1034" s="91"/>
      <c r="HE1034" s="91"/>
      <c r="HF1034" s="91"/>
      <c r="HG1034" s="91"/>
      <c r="HH1034" s="91"/>
      <c r="HI1034" s="91"/>
      <c r="HJ1034" s="91"/>
      <c r="HK1034" s="91"/>
      <c r="HL1034" s="91"/>
      <c r="HM1034" s="91"/>
      <c r="HN1034" s="91"/>
      <c r="HO1034" s="91"/>
      <c r="HP1034" s="91"/>
      <c r="HQ1034" s="91"/>
      <c r="HR1034" s="91"/>
      <c r="HS1034" s="91"/>
      <c r="HT1034" s="91"/>
      <c r="HU1034" s="91"/>
      <c r="HV1034" s="91"/>
      <c r="HW1034" s="91"/>
      <c r="HX1034" s="91"/>
      <c r="HY1034" s="91"/>
      <c r="HZ1034" s="91"/>
      <c r="IA1034" s="91"/>
      <c r="IB1034" s="91"/>
      <c r="IC1034" s="91"/>
      <c r="ID1034" s="91"/>
      <c r="IE1034" s="91"/>
    </row>
    <row r="1035" spans="2:239" ht="15" x14ac:dyDescent="0.2">
      <c r="B1035" s="91"/>
      <c r="C1035" s="91"/>
      <c r="D1035" s="91"/>
      <c r="E1035" s="227"/>
      <c r="F1035" s="91"/>
      <c r="G1035" s="91"/>
      <c r="H1035" s="91"/>
      <c r="I1035" s="91"/>
      <c r="J1035" s="91"/>
      <c r="K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1"/>
      <c r="GQ1035" s="91"/>
      <c r="GR1035" s="91"/>
      <c r="GS1035" s="91"/>
      <c r="GT1035" s="91"/>
      <c r="GU1035" s="91"/>
      <c r="GV1035" s="91"/>
      <c r="GW1035" s="91"/>
      <c r="GX1035" s="91"/>
      <c r="GY1035" s="91"/>
      <c r="GZ1035" s="91"/>
      <c r="HA1035" s="91"/>
      <c r="HB1035" s="91"/>
      <c r="HC1035" s="91"/>
      <c r="HD1035" s="91"/>
      <c r="HE1035" s="91"/>
      <c r="HF1035" s="91"/>
      <c r="HG1035" s="91"/>
      <c r="HH1035" s="91"/>
      <c r="HI1035" s="91"/>
      <c r="HJ1035" s="91"/>
      <c r="HK1035" s="91"/>
      <c r="HL1035" s="91"/>
      <c r="HM1035" s="91"/>
      <c r="HN1035" s="91"/>
      <c r="HO1035" s="91"/>
      <c r="HP1035" s="91"/>
      <c r="HQ1035" s="91"/>
      <c r="HR1035" s="91"/>
      <c r="HS1035" s="91"/>
      <c r="HT1035" s="91"/>
      <c r="HU1035" s="91"/>
      <c r="HV1035" s="91"/>
      <c r="HW1035" s="91"/>
      <c r="HX1035" s="91"/>
      <c r="HY1035" s="91"/>
      <c r="HZ1035" s="91"/>
      <c r="IA1035" s="91"/>
      <c r="IB1035" s="91"/>
      <c r="IC1035" s="91"/>
      <c r="ID1035" s="91"/>
      <c r="IE1035" s="91"/>
    </row>
    <row r="1036" spans="2:239" ht="15" x14ac:dyDescent="0.2">
      <c r="B1036" s="91"/>
      <c r="C1036" s="91"/>
      <c r="D1036" s="91"/>
      <c r="E1036" s="227"/>
      <c r="F1036" s="91"/>
      <c r="G1036" s="91"/>
      <c r="H1036" s="91"/>
      <c r="I1036" s="91"/>
      <c r="J1036" s="91"/>
      <c r="K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c r="GU1036" s="91"/>
      <c r="GV1036" s="91"/>
      <c r="GW1036" s="91"/>
      <c r="GX1036" s="91"/>
      <c r="GY1036" s="91"/>
      <c r="GZ1036" s="91"/>
      <c r="HA1036" s="91"/>
      <c r="HB1036" s="91"/>
      <c r="HC1036" s="91"/>
      <c r="HD1036" s="91"/>
      <c r="HE1036" s="91"/>
      <c r="HF1036" s="91"/>
      <c r="HG1036" s="91"/>
      <c r="HH1036" s="91"/>
      <c r="HI1036" s="91"/>
      <c r="HJ1036" s="91"/>
      <c r="HK1036" s="91"/>
      <c r="HL1036" s="91"/>
      <c r="HM1036" s="91"/>
      <c r="HN1036" s="91"/>
      <c r="HO1036" s="91"/>
      <c r="HP1036" s="91"/>
      <c r="HQ1036" s="91"/>
      <c r="HR1036" s="91"/>
      <c r="HS1036" s="91"/>
      <c r="HT1036" s="91"/>
      <c r="HU1036" s="91"/>
      <c r="HV1036" s="91"/>
      <c r="HW1036" s="91"/>
      <c r="HX1036" s="91"/>
      <c r="HY1036" s="91"/>
      <c r="HZ1036" s="91"/>
      <c r="IA1036" s="91"/>
      <c r="IB1036" s="91"/>
      <c r="IC1036" s="91"/>
      <c r="ID1036" s="91"/>
      <c r="IE1036" s="91"/>
    </row>
    <row r="1037" spans="2:239" ht="15" x14ac:dyDescent="0.2">
      <c r="B1037" s="91"/>
      <c r="C1037" s="91"/>
      <c r="D1037" s="91"/>
      <c r="E1037" s="227"/>
      <c r="F1037" s="91"/>
      <c r="G1037" s="91"/>
      <c r="H1037" s="91"/>
      <c r="I1037" s="91"/>
      <c r="J1037" s="91"/>
      <c r="K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c r="FG1037" s="91"/>
      <c r="FH1037" s="91"/>
      <c r="FI1037" s="91"/>
      <c r="FJ1037" s="91"/>
      <c r="FK1037" s="91"/>
      <c r="FL1037" s="91"/>
      <c r="FM1037" s="91"/>
      <c r="FN1037" s="91"/>
      <c r="FO1037" s="91"/>
      <c r="FP1037" s="91"/>
      <c r="FQ1037" s="91"/>
      <c r="FR1037" s="91"/>
      <c r="FS1037" s="91"/>
      <c r="FT1037" s="91"/>
      <c r="FU1037" s="91"/>
      <c r="FV1037" s="91"/>
      <c r="FW1037" s="91"/>
      <c r="FX1037" s="91"/>
      <c r="FY1037" s="91"/>
      <c r="FZ1037" s="91"/>
      <c r="GA1037" s="91"/>
      <c r="GB1037" s="91"/>
      <c r="GC1037" s="91"/>
      <c r="GD1037" s="91"/>
      <c r="GE1037" s="91"/>
      <c r="GF1037" s="91"/>
      <c r="GG1037" s="91"/>
      <c r="GH1037" s="91"/>
      <c r="GI1037" s="91"/>
      <c r="GJ1037" s="91"/>
      <c r="GK1037" s="91"/>
      <c r="GL1037" s="91"/>
      <c r="GM1037" s="91"/>
      <c r="GN1037" s="91"/>
      <c r="GO1037" s="91"/>
      <c r="GP1037" s="91"/>
      <c r="GQ1037" s="91"/>
      <c r="GR1037" s="91"/>
      <c r="GS1037" s="91"/>
      <c r="GT1037" s="91"/>
      <c r="GU1037" s="91"/>
      <c r="GV1037" s="91"/>
      <c r="GW1037" s="91"/>
      <c r="GX1037" s="91"/>
      <c r="GY1037" s="91"/>
      <c r="GZ1037" s="91"/>
      <c r="HA1037" s="91"/>
      <c r="HB1037" s="91"/>
      <c r="HC1037" s="91"/>
      <c r="HD1037" s="91"/>
      <c r="HE1037" s="91"/>
      <c r="HF1037" s="91"/>
      <c r="HG1037" s="91"/>
      <c r="HH1037" s="91"/>
      <c r="HI1037" s="91"/>
      <c r="HJ1037" s="91"/>
      <c r="HK1037" s="91"/>
      <c r="HL1037" s="91"/>
      <c r="HM1037" s="91"/>
      <c r="HN1037" s="91"/>
      <c r="HO1037" s="91"/>
      <c r="HP1037" s="91"/>
      <c r="HQ1037" s="91"/>
      <c r="HR1037" s="91"/>
      <c r="HS1037" s="91"/>
      <c r="HT1037" s="91"/>
      <c r="HU1037" s="91"/>
      <c r="HV1037" s="91"/>
      <c r="HW1037" s="91"/>
      <c r="HX1037" s="91"/>
      <c r="HY1037" s="91"/>
      <c r="HZ1037" s="91"/>
      <c r="IA1037" s="91"/>
      <c r="IB1037" s="91"/>
      <c r="IC1037" s="91"/>
      <c r="ID1037" s="91"/>
      <c r="IE1037" s="91"/>
    </row>
    <row r="1038" spans="2:239" ht="15" x14ac:dyDescent="0.2">
      <c r="B1038" s="91"/>
      <c r="C1038" s="91"/>
      <c r="D1038" s="91"/>
      <c r="E1038" s="227"/>
      <c r="F1038" s="91"/>
      <c r="G1038" s="91"/>
      <c r="H1038" s="91"/>
      <c r="I1038" s="91"/>
      <c r="J1038" s="91"/>
      <c r="K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c r="GU1038" s="91"/>
      <c r="GV1038" s="91"/>
      <c r="GW1038" s="91"/>
      <c r="GX1038" s="91"/>
      <c r="GY1038" s="91"/>
      <c r="GZ1038" s="91"/>
      <c r="HA1038" s="91"/>
      <c r="HB1038" s="91"/>
      <c r="HC1038" s="91"/>
      <c r="HD1038" s="91"/>
      <c r="HE1038" s="91"/>
      <c r="HF1038" s="91"/>
      <c r="HG1038" s="91"/>
      <c r="HH1038" s="91"/>
      <c r="HI1038" s="91"/>
      <c r="HJ1038" s="91"/>
      <c r="HK1038" s="91"/>
      <c r="HL1038" s="91"/>
      <c r="HM1038" s="91"/>
      <c r="HN1038" s="91"/>
      <c r="HO1038" s="91"/>
      <c r="HP1038" s="91"/>
      <c r="HQ1038" s="91"/>
      <c r="HR1038" s="91"/>
      <c r="HS1038" s="91"/>
      <c r="HT1038" s="91"/>
      <c r="HU1038" s="91"/>
      <c r="HV1038" s="91"/>
      <c r="HW1038" s="91"/>
      <c r="HX1038" s="91"/>
      <c r="HY1038" s="91"/>
      <c r="HZ1038" s="91"/>
      <c r="IA1038" s="91"/>
      <c r="IB1038" s="91"/>
      <c r="IC1038" s="91"/>
      <c r="ID1038" s="91"/>
      <c r="IE1038" s="91"/>
    </row>
    <row r="1039" spans="2:239" ht="15" x14ac:dyDescent="0.2">
      <c r="B1039" s="91"/>
      <c r="C1039" s="91"/>
      <c r="D1039" s="91"/>
      <c r="E1039" s="227"/>
      <c r="F1039" s="91"/>
      <c r="G1039" s="91"/>
      <c r="H1039" s="91"/>
      <c r="I1039" s="91"/>
      <c r="J1039" s="91"/>
      <c r="K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c r="FG1039" s="91"/>
      <c r="FH1039" s="91"/>
      <c r="FI1039" s="91"/>
      <c r="FJ1039" s="91"/>
      <c r="FK1039" s="91"/>
      <c r="FL1039" s="91"/>
      <c r="FM1039" s="91"/>
      <c r="FN1039" s="91"/>
      <c r="FO1039" s="91"/>
      <c r="FP1039" s="91"/>
      <c r="FQ1039" s="91"/>
      <c r="FR1039" s="91"/>
      <c r="FS1039" s="91"/>
      <c r="FT1039" s="91"/>
      <c r="FU1039" s="91"/>
      <c r="FV1039" s="91"/>
      <c r="FW1039" s="91"/>
      <c r="FX1039" s="91"/>
      <c r="FY1039" s="91"/>
      <c r="FZ1039" s="91"/>
      <c r="GA1039" s="91"/>
      <c r="GB1039" s="91"/>
      <c r="GC1039" s="91"/>
      <c r="GD1039" s="91"/>
      <c r="GE1039" s="91"/>
      <c r="GF1039" s="91"/>
      <c r="GG1039" s="91"/>
      <c r="GH1039" s="91"/>
      <c r="GI1039" s="91"/>
      <c r="GJ1039" s="91"/>
      <c r="GK1039" s="91"/>
      <c r="GL1039" s="91"/>
      <c r="GM1039" s="91"/>
      <c r="GN1039" s="91"/>
      <c r="GO1039" s="91"/>
      <c r="GP1039" s="91"/>
      <c r="GQ1039" s="91"/>
      <c r="GR1039" s="91"/>
      <c r="GS1039" s="91"/>
      <c r="GT1039" s="91"/>
      <c r="GU1039" s="91"/>
      <c r="GV1039" s="91"/>
      <c r="GW1039" s="91"/>
      <c r="GX1039" s="91"/>
      <c r="GY1039" s="91"/>
      <c r="GZ1039" s="91"/>
      <c r="HA1039" s="91"/>
      <c r="HB1039" s="91"/>
      <c r="HC1039" s="91"/>
      <c r="HD1039" s="91"/>
      <c r="HE1039" s="91"/>
      <c r="HF1039" s="91"/>
      <c r="HG1039" s="91"/>
      <c r="HH1039" s="91"/>
      <c r="HI1039" s="91"/>
      <c r="HJ1039" s="91"/>
      <c r="HK1039" s="91"/>
      <c r="HL1039" s="91"/>
      <c r="HM1039" s="91"/>
      <c r="HN1039" s="91"/>
      <c r="HO1039" s="91"/>
      <c r="HP1039" s="91"/>
      <c r="HQ1039" s="91"/>
      <c r="HR1039" s="91"/>
      <c r="HS1039" s="91"/>
      <c r="HT1039" s="91"/>
      <c r="HU1039" s="91"/>
      <c r="HV1039" s="91"/>
      <c r="HW1039" s="91"/>
      <c r="HX1039" s="91"/>
      <c r="HY1039" s="91"/>
      <c r="HZ1039" s="91"/>
      <c r="IA1039" s="91"/>
      <c r="IB1039" s="91"/>
      <c r="IC1039" s="91"/>
      <c r="ID1039" s="91"/>
      <c r="IE1039" s="91"/>
    </row>
    <row r="1040" spans="2:239" ht="15" x14ac:dyDescent="0.2">
      <c r="B1040" s="91"/>
      <c r="C1040" s="91"/>
      <c r="D1040" s="91"/>
      <c r="E1040" s="227"/>
      <c r="F1040" s="91"/>
      <c r="G1040" s="91"/>
      <c r="H1040" s="91"/>
      <c r="I1040" s="91"/>
      <c r="J1040" s="91"/>
      <c r="K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c r="GU1040" s="91"/>
      <c r="GV1040" s="91"/>
      <c r="GW1040" s="91"/>
      <c r="GX1040" s="91"/>
      <c r="GY1040" s="91"/>
      <c r="GZ1040" s="91"/>
      <c r="HA1040" s="91"/>
      <c r="HB1040" s="91"/>
      <c r="HC1040" s="91"/>
      <c r="HD1040" s="91"/>
      <c r="HE1040" s="91"/>
      <c r="HF1040" s="91"/>
      <c r="HG1040" s="91"/>
      <c r="HH1040" s="91"/>
      <c r="HI1040" s="91"/>
      <c r="HJ1040" s="91"/>
      <c r="HK1040" s="91"/>
      <c r="HL1040" s="91"/>
      <c r="HM1040" s="91"/>
      <c r="HN1040" s="91"/>
      <c r="HO1040" s="91"/>
      <c r="HP1040" s="91"/>
      <c r="HQ1040" s="91"/>
      <c r="HR1040" s="91"/>
      <c r="HS1040" s="91"/>
      <c r="HT1040" s="91"/>
      <c r="HU1040" s="91"/>
      <c r="HV1040" s="91"/>
      <c r="HW1040" s="91"/>
      <c r="HX1040" s="91"/>
      <c r="HY1040" s="91"/>
      <c r="HZ1040" s="91"/>
      <c r="IA1040" s="91"/>
      <c r="IB1040" s="91"/>
      <c r="IC1040" s="91"/>
      <c r="ID1040" s="91"/>
      <c r="IE1040" s="91"/>
    </row>
    <row r="1041" spans="2:239" ht="15" x14ac:dyDescent="0.2">
      <c r="B1041" s="91"/>
      <c r="C1041" s="91"/>
      <c r="D1041" s="91"/>
      <c r="E1041" s="227"/>
      <c r="F1041" s="91"/>
      <c r="G1041" s="91"/>
      <c r="H1041" s="91"/>
      <c r="I1041" s="91"/>
      <c r="J1041" s="91"/>
      <c r="K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c r="FG1041" s="91"/>
      <c r="FH1041" s="91"/>
      <c r="FI1041" s="91"/>
      <c r="FJ1041" s="91"/>
      <c r="FK1041" s="91"/>
      <c r="FL1041" s="91"/>
      <c r="FM1041" s="91"/>
      <c r="FN1041" s="91"/>
      <c r="FO1041" s="91"/>
      <c r="FP1041" s="91"/>
      <c r="FQ1041" s="91"/>
      <c r="FR1041" s="91"/>
      <c r="FS1041" s="91"/>
      <c r="FT1041" s="91"/>
      <c r="FU1041" s="91"/>
      <c r="FV1041" s="91"/>
      <c r="FW1041" s="91"/>
      <c r="FX1041" s="91"/>
      <c r="FY1041" s="91"/>
      <c r="FZ1041" s="91"/>
      <c r="GA1041" s="91"/>
      <c r="GB1041" s="91"/>
      <c r="GC1041" s="91"/>
      <c r="GD1041" s="91"/>
      <c r="GE1041" s="91"/>
      <c r="GF1041" s="91"/>
      <c r="GG1041" s="91"/>
      <c r="GH1041" s="91"/>
      <c r="GI1041" s="91"/>
      <c r="GJ1041" s="91"/>
      <c r="GK1041" s="91"/>
      <c r="GL1041" s="91"/>
      <c r="GM1041" s="91"/>
      <c r="GN1041" s="91"/>
      <c r="GO1041" s="91"/>
      <c r="GP1041" s="91"/>
      <c r="GQ1041" s="91"/>
      <c r="GR1041" s="91"/>
      <c r="GS1041" s="91"/>
      <c r="GT1041" s="91"/>
      <c r="GU1041" s="91"/>
      <c r="GV1041" s="91"/>
      <c r="GW1041" s="91"/>
      <c r="GX1041" s="91"/>
      <c r="GY1041" s="91"/>
      <c r="GZ1041" s="91"/>
      <c r="HA1041" s="91"/>
      <c r="HB1041" s="91"/>
      <c r="HC1041" s="91"/>
      <c r="HD1041" s="91"/>
      <c r="HE1041" s="91"/>
      <c r="HF1041" s="91"/>
      <c r="HG1041" s="91"/>
      <c r="HH1041" s="91"/>
      <c r="HI1041" s="91"/>
      <c r="HJ1041" s="91"/>
      <c r="HK1041" s="91"/>
      <c r="HL1041" s="91"/>
      <c r="HM1041" s="91"/>
      <c r="HN1041" s="91"/>
      <c r="HO1041" s="91"/>
      <c r="HP1041" s="91"/>
      <c r="HQ1041" s="91"/>
      <c r="HR1041" s="91"/>
      <c r="HS1041" s="91"/>
      <c r="HT1041" s="91"/>
      <c r="HU1041" s="91"/>
      <c r="HV1041" s="91"/>
      <c r="HW1041" s="91"/>
      <c r="HX1041" s="91"/>
      <c r="HY1041" s="91"/>
      <c r="HZ1041" s="91"/>
      <c r="IA1041" s="91"/>
      <c r="IB1041" s="91"/>
      <c r="IC1041" s="91"/>
      <c r="ID1041" s="91"/>
      <c r="IE1041" s="91"/>
    </row>
    <row r="1042" spans="2:239" ht="15" x14ac:dyDescent="0.2">
      <c r="B1042" s="91"/>
      <c r="C1042" s="91"/>
      <c r="D1042" s="91"/>
      <c r="E1042" s="227"/>
      <c r="F1042" s="91"/>
      <c r="G1042" s="91"/>
      <c r="H1042" s="91"/>
      <c r="I1042" s="91"/>
      <c r="J1042" s="91"/>
      <c r="K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c r="GU1042" s="91"/>
      <c r="GV1042" s="91"/>
      <c r="GW1042" s="91"/>
      <c r="GX1042" s="91"/>
      <c r="GY1042" s="91"/>
      <c r="GZ1042" s="91"/>
      <c r="HA1042" s="91"/>
      <c r="HB1042" s="91"/>
      <c r="HC1042" s="91"/>
      <c r="HD1042" s="91"/>
      <c r="HE1042" s="91"/>
      <c r="HF1042" s="91"/>
      <c r="HG1042" s="91"/>
      <c r="HH1042" s="91"/>
      <c r="HI1042" s="91"/>
      <c r="HJ1042" s="91"/>
      <c r="HK1042" s="91"/>
      <c r="HL1042" s="91"/>
      <c r="HM1042" s="91"/>
      <c r="HN1042" s="91"/>
      <c r="HO1042" s="91"/>
      <c r="HP1042" s="91"/>
      <c r="HQ1042" s="91"/>
      <c r="HR1042" s="91"/>
      <c r="HS1042" s="91"/>
      <c r="HT1042" s="91"/>
      <c r="HU1042" s="91"/>
      <c r="HV1042" s="91"/>
      <c r="HW1042" s="91"/>
      <c r="HX1042" s="91"/>
      <c r="HY1042" s="91"/>
      <c r="HZ1042" s="91"/>
      <c r="IA1042" s="91"/>
      <c r="IB1042" s="91"/>
      <c r="IC1042" s="91"/>
      <c r="ID1042" s="91"/>
      <c r="IE1042" s="91"/>
    </row>
    <row r="1043" spans="2:239" ht="15" x14ac:dyDescent="0.2">
      <c r="B1043" s="91"/>
      <c r="C1043" s="91"/>
      <c r="D1043" s="91"/>
      <c r="E1043" s="227"/>
      <c r="F1043" s="91"/>
      <c r="G1043" s="91"/>
      <c r="H1043" s="91"/>
      <c r="I1043" s="91"/>
      <c r="J1043" s="91"/>
      <c r="K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1"/>
      <c r="GQ1043" s="91"/>
      <c r="GR1043" s="91"/>
      <c r="GS1043" s="91"/>
      <c r="GT1043" s="91"/>
      <c r="GU1043" s="91"/>
      <c r="GV1043" s="91"/>
      <c r="GW1043" s="91"/>
      <c r="GX1043" s="91"/>
      <c r="GY1043" s="91"/>
      <c r="GZ1043" s="91"/>
      <c r="HA1043" s="91"/>
      <c r="HB1043" s="91"/>
      <c r="HC1043" s="91"/>
      <c r="HD1043" s="91"/>
      <c r="HE1043" s="91"/>
      <c r="HF1043" s="91"/>
      <c r="HG1043" s="91"/>
      <c r="HH1043" s="91"/>
      <c r="HI1043" s="91"/>
      <c r="HJ1043" s="91"/>
      <c r="HK1043" s="91"/>
      <c r="HL1043" s="91"/>
      <c r="HM1043" s="91"/>
      <c r="HN1043" s="91"/>
      <c r="HO1043" s="91"/>
      <c r="HP1043" s="91"/>
      <c r="HQ1043" s="91"/>
      <c r="HR1043" s="91"/>
      <c r="HS1043" s="91"/>
      <c r="HT1043" s="91"/>
      <c r="HU1043" s="91"/>
      <c r="HV1043" s="91"/>
      <c r="HW1043" s="91"/>
      <c r="HX1043" s="91"/>
      <c r="HY1043" s="91"/>
      <c r="HZ1043" s="91"/>
      <c r="IA1043" s="91"/>
      <c r="IB1043" s="91"/>
      <c r="IC1043" s="91"/>
      <c r="ID1043" s="91"/>
      <c r="IE1043" s="91"/>
    </row>
    <row r="1044" spans="2:239" ht="15" x14ac:dyDescent="0.2">
      <c r="B1044" s="91"/>
      <c r="C1044" s="91"/>
      <c r="D1044" s="91"/>
      <c r="E1044" s="227"/>
      <c r="F1044" s="91"/>
      <c r="G1044" s="91"/>
      <c r="H1044" s="91"/>
      <c r="I1044" s="91"/>
      <c r="J1044" s="91"/>
      <c r="K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c r="GU1044" s="91"/>
      <c r="GV1044" s="91"/>
      <c r="GW1044" s="91"/>
      <c r="GX1044" s="91"/>
      <c r="GY1044" s="91"/>
      <c r="GZ1044" s="91"/>
      <c r="HA1044" s="91"/>
      <c r="HB1044" s="91"/>
      <c r="HC1044" s="91"/>
      <c r="HD1044" s="91"/>
      <c r="HE1044" s="91"/>
      <c r="HF1044" s="91"/>
      <c r="HG1044" s="91"/>
      <c r="HH1044" s="91"/>
      <c r="HI1044" s="91"/>
      <c r="HJ1044" s="91"/>
      <c r="HK1044" s="91"/>
      <c r="HL1044" s="91"/>
      <c r="HM1044" s="91"/>
      <c r="HN1044" s="91"/>
      <c r="HO1044" s="91"/>
      <c r="HP1044" s="91"/>
      <c r="HQ1044" s="91"/>
      <c r="HR1044" s="91"/>
      <c r="HS1044" s="91"/>
      <c r="HT1044" s="91"/>
      <c r="HU1044" s="91"/>
      <c r="HV1044" s="91"/>
      <c r="HW1044" s="91"/>
      <c r="HX1044" s="91"/>
      <c r="HY1044" s="91"/>
      <c r="HZ1044" s="91"/>
      <c r="IA1044" s="91"/>
      <c r="IB1044" s="91"/>
      <c r="IC1044" s="91"/>
      <c r="ID1044" s="91"/>
      <c r="IE1044" s="91"/>
    </row>
    <row r="1045" spans="2:239" ht="15" x14ac:dyDescent="0.2">
      <c r="B1045" s="91"/>
      <c r="C1045" s="91"/>
      <c r="D1045" s="91"/>
      <c r="E1045" s="227"/>
      <c r="F1045" s="91"/>
      <c r="G1045" s="91"/>
      <c r="H1045" s="91"/>
      <c r="I1045" s="91"/>
      <c r="J1045" s="91"/>
      <c r="K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c r="FG1045" s="91"/>
      <c r="FH1045" s="91"/>
      <c r="FI1045" s="91"/>
      <c r="FJ1045" s="91"/>
      <c r="FK1045" s="91"/>
      <c r="FL1045" s="91"/>
      <c r="FM1045" s="91"/>
      <c r="FN1045" s="91"/>
      <c r="FO1045" s="91"/>
      <c r="FP1045" s="91"/>
      <c r="FQ1045" s="91"/>
      <c r="FR1045" s="91"/>
      <c r="FS1045" s="91"/>
      <c r="FT1045" s="91"/>
      <c r="FU1045" s="91"/>
      <c r="FV1045" s="91"/>
      <c r="FW1045" s="91"/>
      <c r="FX1045" s="91"/>
      <c r="FY1045" s="91"/>
      <c r="FZ1045" s="91"/>
      <c r="GA1045" s="91"/>
      <c r="GB1045" s="91"/>
      <c r="GC1045" s="91"/>
      <c r="GD1045" s="91"/>
      <c r="GE1045" s="91"/>
      <c r="GF1045" s="91"/>
      <c r="GG1045" s="91"/>
      <c r="GH1045" s="91"/>
      <c r="GI1045" s="91"/>
      <c r="GJ1045" s="91"/>
      <c r="GK1045" s="91"/>
      <c r="GL1045" s="91"/>
      <c r="GM1045" s="91"/>
      <c r="GN1045" s="91"/>
      <c r="GO1045" s="91"/>
      <c r="GP1045" s="91"/>
      <c r="GQ1045" s="91"/>
      <c r="GR1045" s="91"/>
      <c r="GS1045" s="91"/>
      <c r="GT1045" s="91"/>
      <c r="GU1045" s="91"/>
      <c r="GV1045" s="91"/>
      <c r="GW1045" s="91"/>
      <c r="GX1045" s="91"/>
      <c r="GY1045" s="91"/>
      <c r="GZ1045" s="91"/>
      <c r="HA1045" s="91"/>
      <c r="HB1045" s="91"/>
      <c r="HC1045" s="91"/>
      <c r="HD1045" s="91"/>
      <c r="HE1045" s="91"/>
      <c r="HF1045" s="91"/>
      <c r="HG1045" s="91"/>
      <c r="HH1045" s="91"/>
      <c r="HI1045" s="91"/>
      <c r="HJ1045" s="91"/>
      <c r="HK1045" s="91"/>
      <c r="HL1045" s="91"/>
      <c r="HM1045" s="91"/>
      <c r="HN1045" s="91"/>
      <c r="HO1045" s="91"/>
      <c r="HP1045" s="91"/>
      <c r="HQ1045" s="91"/>
      <c r="HR1045" s="91"/>
      <c r="HS1045" s="91"/>
      <c r="HT1045" s="91"/>
      <c r="HU1045" s="91"/>
      <c r="HV1045" s="91"/>
      <c r="HW1045" s="91"/>
      <c r="HX1045" s="91"/>
      <c r="HY1045" s="91"/>
      <c r="HZ1045" s="91"/>
      <c r="IA1045" s="91"/>
      <c r="IB1045" s="91"/>
      <c r="IC1045" s="91"/>
      <c r="ID1045" s="91"/>
      <c r="IE1045" s="91"/>
    </row>
    <row r="1046" spans="2:239" ht="15" x14ac:dyDescent="0.2">
      <c r="B1046" s="91"/>
      <c r="C1046" s="91"/>
      <c r="D1046" s="91"/>
      <c r="E1046" s="227"/>
      <c r="F1046" s="91"/>
      <c r="G1046" s="91"/>
      <c r="H1046" s="91"/>
      <c r="I1046" s="91"/>
      <c r="J1046" s="91"/>
      <c r="K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c r="GU1046" s="91"/>
      <c r="GV1046" s="91"/>
      <c r="GW1046" s="91"/>
      <c r="GX1046" s="91"/>
      <c r="GY1046" s="91"/>
      <c r="GZ1046" s="91"/>
      <c r="HA1046" s="91"/>
      <c r="HB1046" s="91"/>
      <c r="HC1046" s="91"/>
      <c r="HD1046" s="91"/>
      <c r="HE1046" s="91"/>
      <c r="HF1046" s="91"/>
      <c r="HG1046" s="91"/>
      <c r="HH1046" s="91"/>
      <c r="HI1046" s="91"/>
      <c r="HJ1046" s="91"/>
      <c r="HK1046" s="91"/>
      <c r="HL1046" s="91"/>
      <c r="HM1046" s="91"/>
      <c r="HN1046" s="91"/>
      <c r="HO1046" s="91"/>
      <c r="HP1046" s="91"/>
      <c r="HQ1046" s="91"/>
      <c r="HR1046" s="91"/>
      <c r="HS1046" s="91"/>
      <c r="HT1046" s="91"/>
      <c r="HU1046" s="91"/>
      <c r="HV1046" s="91"/>
      <c r="HW1046" s="91"/>
      <c r="HX1046" s="91"/>
      <c r="HY1046" s="91"/>
      <c r="HZ1046" s="91"/>
      <c r="IA1046" s="91"/>
      <c r="IB1046" s="91"/>
      <c r="IC1046" s="91"/>
      <c r="ID1046" s="91"/>
      <c r="IE1046" s="91"/>
    </row>
    <row r="1047" spans="2:239" ht="15" x14ac:dyDescent="0.2">
      <c r="B1047" s="91"/>
      <c r="C1047" s="91"/>
      <c r="D1047" s="91"/>
      <c r="E1047" s="227"/>
      <c r="F1047" s="91"/>
      <c r="G1047" s="91"/>
      <c r="H1047" s="91"/>
      <c r="I1047" s="91"/>
      <c r="J1047" s="91"/>
      <c r="K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c r="FG1047" s="91"/>
      <c r="FH1047" s="91"/>
      <c r="FI1047" s="91"/>
      <c r="FJ1047" s="91"/>
      <c r="FK1047" s="91"/>
      <c r="FL1047" s="91"/>
      <c r="FM1047" s="91"/>
      <c r="FN1047" s="91"/>
      <c r="FO1047" s="91"/>
      <c r="FP1047" s="91"/>
      <c r="FQ1047" s="91"/>
      <c r="FR1047" s="91"/>
      <c r="FS1047" s="91"/>
      <c r="FT1047" s="91"/>
      <c r="FU1047" s="91"/>
      <c r="FV1047" s="91"/>
      <c r="FW1047" s="91"/>
      <c r="FX1047" s="91"/>
      <c r="FY1047" s="91"/>
      <c r="FZ1047" s="91"/>
      <c r="GA1047" s="91"/>
      <c r="GB1047" s="91"/>
      <c r="GC1047" s="91"/>
      <c r="GD1047" s="91"/>
      <c r="GE1047" s="91"/>
      <c r="GF1047" s="91"/>
      <c r="GG1047" s="91"/>
      <c r="GH1047" s="91"/>
      <c r="GI1047" s="91"/>
      <c r="GJ1047" s="91"/>
      <c r="GK1047" s="91"/>
      <c r="GL1047" s="91"/>
      <c r="GM1047" s="91"/>
      <c r="GN1047" s="91"/>
      <c r="GO1047" s="91"/>
      <c r="GP1047" s="91"/>
      <c r="GQ1047" s="91"/>
      <c r="GR1047" s="91"/>
      <c r="GS1047" s="91"/>
      <c r="GT1047" s="91"/>
      <c r="GU1047" s="91"/>
      <c r="GV1047" s="91"/>
      <c r="GW1047" s="91"/>
      <c r="GX1047" s="91"/>
      <c r="GY1047" s="91"/>
      <c r="GZ1047" s="91"/>
      <c r="HA1047" s="91"/>
      <c r="HB1047" s="91"/>
      <c r="HC1047" s="91"/>
      <c r="HD1047" s="91"/>
      <c r="HE1047" s="91"/>
      <c r="HF1047" s="91"/>
      <c r="HG1047" s="91"/>
      <c r="HH1047" s="91"/>
      <c r="HI1047" s="91"/>
      <c r="HJ1047" s="91"/>
      <c r="HK1047" s="91"/>
      <c r="HL1047" s="91"/>
      <c r="HM1047" s="91"/>
      <c r="HN1047" s="91"/>
      <c r="HO1047" s="91"/>
      <c r="HP1047" s="91"/>
      <c r="HQ1047" s="91"/>
      <c r="HR1047" s="91"/>
      <c r="HS1047" s="91"/>
      <c r="HT1047" s="91"/>
      <c r="HU1047" s="91"/>
      <c r="HV1047" s="91"/>
      <c r="HW1047" s="91"/>
      <c r="HX1047" s="91"/>
      <c r="HY1047" s="91"/>
      <c r="HZ1047" s="91"/>
      <c r="IA1047" s="91"/>
      <c r="IB1047" s="91"/>
      <c r="IC1047" s="91"/>
      <c r="ID1047" s="91"/>
      <c r="IE1047" s="91"/>
    </row>
    <row r="1048" spans="2:239" ht="15" x14ac:dyDescent="0.2">
      <c r="B1048" s="91"/>
      <c r="C1048" s="91"/>
      <c r="D1048" s="91"/>
      <c r="E1048" s="227"/>
      <c r="F1048" s="91"/>
      <c r="G1048" s="91"/>
      <c r="H1048" s="91"/>
      <c r="I1048" s="91"/>
      <c r="J1048" s="91"/>
      <c r="K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c r="GU1048" s="91"/>
      <c r="GV1048" s="91"/>
      <c r="GW1048" s="91"/>
      <c r="GX1048" s="91"/>
      <c r="GY1048" s="91"/>
      <c r="GZ1048" s="91"/>
      <c r="HA1048" s="91"/>
      <c r="HB1048" s="91"/>
      <c r="HC1048" s="91"/>
      <c r="HD1048" s="91"/>
      <c r="HE1048" s="91"/>
      <c r="HF1048" s="91"/>
      <c r="HG1048" s="91"/>
      <c r="HH1048" s="91"/>
      <c r="HI1048" s="91"/>
      <c r="HJ1048" s="91"/>
      <c r="HK1048" s="91"/>
      <c r="HL1048" s="91"/>
      <c r="HM1048" s="91"/>
      <c r="HN1048" s="91"/>
      <c r="HO1048" s="91"/>
      <c r="HP1048" s="91"/>
      <c r="HQ1048" s="91"/>
      <c r="HR1048" s="91"/>
      <c r="HS1048" s="91"/>
      <c r="HT1048" s="91"/>
      <c r="HU1048" s="91"/>
      <c r="HV1048" s="91"/>
      <c r="HW1048" s="91"/>
      <c r="HX1048" s="91"/>
      <c r="HY1048" s="91"/>
      <c r="HZ1048" s="91"/>
      <c r="IA1048" s="91"/>
      <c r="IB1048" s="91"/>
      <c r="IC1048" s="91"/>
      <c r="ID1048" s="91"/>
      <c r="IE1048" s="91"/>
    </row>
    <row r="1049" spans="2:239" ht="15" x14ac:dyDescent="0.2">
      <c r="B1049" s="91"/>
      <c r="C1049" s="91"/>
      <c r="D1049" s="91"/>
      <c r="E1049" s="227"/>
      <c r="F1049" s="91"/>
      <c r="G1049" s="91"/>
      <c r="H1049" s="91"/>
      <c r="I1049" s="91"/>
      <c r="J1049" s="91"/>
      <c r="K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c r="FG1049" s="91"/>
      <c r="FH1049" s="91"/>
      <c r="FI1049" s="91"/>
      <c r="FJ1049" s="91"/>
      <c r="FK1049" s="91"/>
      <c r="FL1049" s="91"/>
      <c r="FM1049" s="91"/>
      <c r="FN1049" s="91"/>
      <c r="FO1049" s="91"/>
      <c r="FP1049" s="91"/>
      <c r="FQ1049" s="91"/>
      <c r="FR1049" s="91"/>
      <c r="FS1049" s="91"/>
      <c r="FT1049" s="91"/>
      <c r="FU1049" s="91"/>
      <c r="FV1049" s="91"/>
      <c r="FW1049" s="91"/>
      <c r="FX1049" s="91"/>
      <c r="FY1049" s="91"/>
      <c r="FZ1049" s="91"/>
      <c r="GA1049" s="91"/>
      <c r="GB1049" s="91"/>
      <c r="GC1049" s="91"/>
      <c r="GD1049" s="91"/>
      <c r="GE1049" s="91"/>
      <c r="GF1049" s="91"/>
      <c r="GG1049" s="91"/>
      <c r="GH1049" s="91"/>
      <c r="GI1049" s="91"/>
      <c r="GJ1049" s="91"/>
      <c r="GK1049" s="91"/>
      <c r="GL1049" s="91"/>
      <c r="GM1049" s="91"/>
      <c r="GN1049" s="91"/>
      <c r="GO1049" s="91"/>
      <c r="GP1049" s="91"/>
      <c r="GQ1049" s="91"/>
      <c r="GR1049" s="91"/>
      <c r="GS1049" s="91"/>
      <c r="GT1049" s="91"/>
      <c r="GU1049" s="91"/>
      <c r="GV1049" s="91"/>
      <c r="GW1049" s="91"/>
      <c r="GX1049" s="91"/>
      <c r="GY1049" s="91"/>
      <c r="GZ1049" s="91"/>
      <c r="HA1049" s="91"/>
      <c r="HB1049" s="91"/>
      <c r="HC1049" s="91"/>
      <c r="HD1049" s="91"/>
      <c r="HE1049" s="91"/>
      <c r="HF1049" s="91"/>
      <c r="HG1049" s="91"/>
      <c r="HH1049" s="91"/>
      <c r="HI1049" s="91"/>
      <c r="HJ1049" s="91"/>
      <c r="HK1049" s="91"/>
      <c r="HL1049" s="91"/>
      <c r="HM1049" s="91"/>
      <c r="HN1049" s="91"/>
      <c r="HO1049" s="91"/>
      <c r="HP1049" s="91"/>
      <c r="HQ1049" s="91"/>
      <c r="HR1049" s="91"/>
      <c r="HS1049" s="91"/>
      <c r="HT1049" s="91"/>
      <c r="HU1049" s="91"/>
      <c r="HV1049" s="91"/>
      <c r="HW1049" s="91"/>
      <c r="HX1049" s="91"/>
      <c r="HY1049" s="91"/>
      <c r="HZ1049" s="91"/>
      <c r="IA1049" s="91"/>
      <c r="IB1049" s="91"/>
      <c r="IC1049" s="91"/>
      <c r="ID1049" s="91"/>
      <c r="IE1049" s="91"/>
    </row>
    <row r="1050" spans="2:239" ht="15" x14ac:dyDescent="0.2">
      <c r="B1050" s="91"/>
      <c r="C1050" s="91"/>
      <c r="D1050" s="91"/>
      <c r="E1050" s="227"/>
      <c r="F1050" s="91"/>
      <c r="G1050" s="91"/>
      <c r="H1050" s="91"/>
      <c r="I1050" s="91"/>
      <c r="J1050" s="91"/>
      <c r="K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c r="GU1050" s="91"/>
      <c r="GV1050" s="91"/>
      <c r="GW1050" s="91"/>
      <c r="GX1050" s="91"/>
      <c r="GY1050" s="91"/>
      <c r="GZ1050" s="91"/>
      <c r="HA1050" s="91"/>
      <c r="HB1050" s="91"/>
      <c r="HC1050" s="91"/>
      <c r="HD1050" s="91"/>
      <c r="HE1050" s="91"/>
      <c r="HF1050" s="91"/>
      <c r="HG1050" s="91"/>
      <c r="HH1050" s="91"/>
      <c r="HI1050" s="91"/>
      <c r="HJ1050" s="91"/>
      <c r="HK1050" s="91"/>
      <c r="HL1050" s="91"/>
      <c r="HM1050" s="91"/>
      <c r="HN1050" s="91"/>
      <c r="HO1050" s="91"/>
      <c r="HP1050" s="91"/>
      <c r="HQ1050" s="91"/>
      <c r="HR1050" s="91"/>
      <c r="HS1050" s="91"/>
      <c r="HT1050" s="91"/>
      <c r="HU1050" s="91"/>
      <c r="HV1050" s="91"/>
      <c r="HW1050" s="91"/>
      <c r="HX1050" s="91"/>
      <c r="HY1050" s="91"/>
      <c r="HZ1050" s="91"/>
      <c r="IA1050" s="91"/>
      <c r="IB1050" s="91"/>
      <c r="IC1050" s="91"/>
      <c r="ID1050" s="91"/>
      <c r="IE1050" s="91"/>
    </row>
    <row r="1051" spans="2:239" ht="15" x14ac:dyDescent="0.2">
      <c r="B1051" s="91"/>
      <c r="C1051" s="91"/>
      <c r="D1051" s="91"/>
      <c r="E1051" s="227"/>
      <c r="F1051" s="91"/>
      <c r="G1051" s="91"/>
      <c r="H1051" s="91"/>
      <c r="I1051" s="91"/>
      <c r="J1051" s="91"/>
      <c r="K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c r="GU1051" s="91"/>
      <c r="GV1051" s="91"/>
      <c r="GW1051" s="91"/>
      <c r="GX1051" s="91"/>
      <c r="GY1051" s="91"/>
      <c r="GZ1051" s="91"/>
      <c r="HA1051" s="91"/>
      <c r="HB1051" s="91"/>
      <c r="HC1051" s="91"/>
      <c r="HD1051" s="91"/>
      <c r="HE1051" s="91"/>
      <c r="HF1051" s="91"/>
      <c r="HG1051" s="91"/>
      <c r="HH1051" s="91"/>
      <c r="HI1051" s="91"/>
      <c r="HJ1051" s="91"/>
      <c r="HK1051" s="91"/>
      <c r="HL1051" s="91"/>
      <c r="HM1051" s="91"/>
      <c r="HN1051" s="91"/>
      <c r="HO1051" s="91"/>
      <c r="HP1051" s="91"/>
      <c r="HQ1051" s="91"/>
      <c r="HR1051" s="91"/>
      <c r="HS1051" s="91"/>
      <c r="HT1051" s="91"/>
      <c r="HU1051" s="91"/>
      <c r="HV1051" s="91"/>
      <c r="HW1051" s="91"/>
      <c r="HX1051" s="91"/>
      <c r="HY1051" s="91"/>
      <c r="HZ1051" s="91"/>
      <c r="IA1051" s="91"/>
      <c r="IB1051" s="91"/>
      <c r="IC1051" s="91"/>
      <c r="ID1051" s="91"/>
      <c r="IE1051" s="91"/>
    </row>
    <row r="1052" spans="2:239" ht="15" x14ac:dyDescent="0.2">
      <c r="B1052" s="91"/>
      <c r="C1052" s="91"/>
      <c r="D1052" s="91"/>
      <c r="E1052" s="227"/>
      <c r="F1052" s="91"/>
      <c r="G1052" s="91"/>
      <c r="H1052" s="91"/>
      <c r="I1052" s="91"/>
      <c r="J1052" s="91"/>
      <c r="K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c r="GU1052" s="91"/>
      <c r="GV1052" s="91"/>
      <c r="GW1052" s="91"/>
      <c r="GX1052" s="91"/>
      <c r="GY1052" s="91"/>
      <c r="GZ1052" s="91"/>
      <c r="HA1052" s="91"/>
      <c r="HB1052" s="91"/>
      <c r="HC1052" s="91"/>
      <c r="HD1052" s="91"/>
      <c r="HE1052" s="91"/>
      <c r="HF1052" s="91"/>
      <c r="HG1052" s="91"/>
      <c r="HH1052" s="91"/>
      <c r="HI1052" s="91"/>
      <c r="HJ1052" s="91"/>
      <c r="HK1052" s="91"/>
      <c r="HL1052" s="91"/>
      <c r="HM1052" s="91"/>
      <c r="HN1052" s="91"/>
      <c r="HO1052" s="91"/>
      <c r="HP1052" s="91"/>
      <c r="HQ1052" s="91"/>
      <c r="HR1052" s="91"/>
      <c r="HS1052" s="91"/>
      <c r="HT1052" s="91"/>
      <c r="HU1052" s="91"/>
      <c r="HV1052" s="91"/>
      <c r="HW1052" s="91"/>
      <c r="HX1052" s="91"/>
      <c r="HY1052" s="91"/>
      <c r="HZ1052" s="91"/>
      <c r="IA1052" s="91"/>
      <c r="IB1052" s="91"/>
      <c r="IC1052" s="91"/>
      <c r="ID1052" s="91"/>
      <c r="IE1052" s="91"/>
    </row>
    <row r="1053" spans="2:239" ht="15" x14ac:dyDescent="0.2">
      <c r="B1053" s="91"/>
      <c r="C1053" s="91"/>
      <c r="D1053" s="91"/>
      <c r="E1053" s="227"/>
      <c r="F1053" s="91"/>
      <c r="G1053" s="91"/>
      <c r="H1053" s="91"/>
      <c r="I1053" s="91"/>
      <c r="J1053" s="91"/>
      <c r="K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c r="FB1053" s="91"/>
      <c r="FC1053" s="91"/>
      <c r="FD1053" s="91"/>
      <c r="FE1053" s="91"/>
      <c r="FF1053" s="91"/>
      <c r="FG1053" s="91"/>
      <c r="FH1053" s="91"/>
      <c r="FI1053" s="91"/>
      <c r="FJ1053" s="91"/>
      <c r="FK1053" s="91"/>
      <c r="FL1053" s="91"/>
      <c r="FM1053" s="91"/>
      <c r="FN1053" s="91"/>
      <c r="FO1053" s="91"/>
      <c r="FP1053" s="91"/>
      <c r="FQ1053" s="91"/>
      <c r="FR1053" s="91"/>
      <c r="FS1053" s="91"/>
      <c r="FT1053" s="91"/>
      <c r="FU1053" s="91"/>
      <c r="FV1053" s="91"/>
      <c r="FW1053" s="91"/>
      <c r="FX1053" s="91"/>
      <c r="FY1053" s="91"/>
      <c r="FZ1053" s="91"/>
      <c r="GA1053" s="91"/>
      <c r="GB1053" s="91"/>
      <c r="GC1053" s="91"/>
      <c r="GD1053" s="91"/>
      <c r="GE1053" s="91"/>
      <c r="GF1053" s="91"/>
      <c r="GG1053" s="91"/>
      <c r="GH1053" s="91"/>
      <c r="GI1053" s="91"/>
      <c r="GJ1053" s="91"/>
      <c r="GK1053" s="91"/>
      <c r="GL1053" s="91"/>
      <c r="GM1053" s="91"/>
      <c r="GN1053" s="91"/>
      <c r="GO1053" s="91"/>
      <c r="GP1053" s="91"/>
      <c r="GQ1053" s="91"/>
      <c r="GR1053" s="91"/>
      <c r="GS1053" s="91"/>
      <c r="GT1053" s="91"/>
      <c r="GU1053" s="91"/>
      <c r="GV1053" s="91"/>
      <c r="GW1053" s="91"/>
      <c r="GX1053" s="91"/>
      <c r="GY1053" s="91"/>
      <c r="GZ1053" s="91"/>
      <c r="HA1053" s="91"/>
      <c r="HB1053" s="91"/>
      <c r="HC1053" s="91"/>
      <c r="HD1053" s="91"/>
      <c r="HE1053" s="91"/>
      <c r="HF1053" s="91"/>
      <c r="HG1053" s="91"/>
      <c r="HH1053" s="91"/>
      <c r="HI1053" s="91"/>
      <c r="HJ1053" s="91"/>
      <c r="HK1053" s="91"/>
      <c r="HL1053" s="91"/>
      <c r="HM1053" s="91"/>
      <c r="HN1053" s="91"/>
      <c r="HO1053" s="91"/>
      <c r="HP1053" s="91"/>
      <c r="HQ1053" s="91"/>
      <c r="HR1053" s="91"/>
      <c r="HS1053" s="91"/>
      <c r="HT1053" s="91"/>
      <c r="HU1053" s="91"/>
      <c r="HV1053" s="91"/>
      <c r="HW1053" s="91"/>
      <c r="HX1053" s="91"/>
      <c r="HY1053" s="91"/>
      <c r="HZ1053" s="91"/>
      <c r="IA1053" s="91"/>
      <c r="IB1053" s="91"/>
      <c r="IC1053" s="91"/>
      <c r="ID1053" s="91"/>
      <c r="IE1053" s="91"/>
    </row>
    <row r="1054" spans="2:239" ht="15" x14ac:dyDescent="0.2">
      <c r="B1054" s="91"/>
      <c r="C1054" s="91"/>
      <c r="D1054" s="91"/>
      <c r="E1054" s="227"/>
      <c r="F1054" s="91"/>
      <c r="G1054" s="91"/>
      <c r="H1054" s="91"/>
      <c r="I1054" s="91"/>
      <c r="J1054" s="91"/>
      <c r="K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c r="GU1054" s="91"/>
      <c r="GV1054" s="91"/>
      <c r="GW1054" s="91"/>
      <c r="GX1054" s="91"/>
      <c r="GY1054" s="91"/>
      <c r="GZ1054" s="91"/>
      <c r="HA1054" s="91"/>
      <c r="HB1054" s="91"/>
      <c r="HC1054" s="91"/>
      <c r="HD1054" s="91"/>
      <c r="HE1054" s="91"/>
      <c r="HF1054" s="91"/>
      <c r="HG1054" s="91"/>
      <c r="HH1054" s="91"/>
      <c r="HI1054" s="91"/>
      <c r="HJ1054" s="91"/>
      <c r="HK1054" s="91"/>
      <c r="HL1054" s="91"/>
      <c r="HM1054" s="91"/>
      <c r="HN1054" s="91"/>
      <c r="HO1054" s="91"/>
      <c r="HP1054" s="91"/>
      <c r="HQ1054" s="91"/>
      <c r="HR1054" s="91"/>
      <c r="HS1054" s="91"/>
      <c r="HT1054" s="91"/>
      <c r="HU1054" s="91"/>
      <c r="HV1054" s="91"/>
      <c r="HW1054" s="91"/>
      <c r="HX1054" s="91"/>
      <c r="HY1054" s="91"/>
      <c r="HZ1054" s="91"/>
      <c r="IA1054" s="91"/>
      <c r="IB1054" s="91"/>
      <c r="IC1054" s="91"/>
      <c r="ID1054" s="91"/>
      <c r="IE1054" s="91"/>
    </row>
    <row r="1055" spans="2:239" ht="15" x14ac:dyDescent="0.2">
      <c r="B1055" s="91"/>
      <c r="C1055" s="91"/>
      <c r="D1055" s="91"/>
      <c r="E1055" s="227"/>
      <c r="F1055" s="91"/>
      <c r="G1055" s="91"/>
      <c r="H1055" s="91"/>
      <c r="I1055" s="91"/>
      <c r="J1055" s="91"/>
      <c r="K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c r="GU1055" s="91"/>
      <c r="GV1055" s="91"/>
      <c r="GW1055" s="91"/>
      <c r="GX1055" s="91"/>
      <c r="GY1055" s="91"/>
      <c r="GZ1055" s="91"/>
      <c r="HA1055" s="91"/>
      <c r="HB1055" s="91"/>
      <c r="HC1055" s="91"/>
      <c r="HD1055" s="91"/>
      <c r="HE1055" s="91"/>
      <c r="HF1055" s="91"/>
      <c r="HG1055" s="91"/>
      <c r="HH1055" s="91"/>
      <c r="HI1055" s="91"/>
      <c r="HJ1055" s="91"/>
      <c r="HK1055" s="91"/>
      <c r="HL1055" s="91"/>
      <c r="HM1055" s="91"/>
      <c r="HN1055" s="91"/>
      <c r="HO1055" s="91"/>
      <c r="HP1055" s="91"/>
      <c r="HQ1055" s="91"/>
      <c r="HR1055" s="91"/>
      <c r="HS1055" s="91"/>
      <c r="HT1055" s="91"/>
      <c r="HU1055" s="91"/>
      <c r="HV1055" s="91"/>
      <c r="HW1055" s="91"/>
      <c r="HX1055" s="91"/>
      <c r="HY1055" s="91"/>
      <c r="HZ1055" s="91"/>
      <c r="IA1055" s="91"/>
      <c r="IB1055" s="91"/>
      <c r="IC1055" s="91"/>
      <c r="ID1055" s="91"/>
      <c r="IE1055" s="91"/>
    </row>
    <row r="1056" spans="2:239" ht="15" x14ac:dyDescent="0.2">
      <c r="B1056" s="91"/>
      <c r="C1056" s="91"/>
      <c r="D1056" s="91"/>
      <c r="E1056" s="227"/>
      <c r="F1056" s="91"/>
      <c r="G1056" s="91"/>
      <c r="H1056" s="91"/>
      <c r="I1056" s="91"/>
      <c r="J1056" s="91"/>
      <c r="K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c r="GU1056" s="91"/>
      <c r="GV1056" s="91"/>
      <c r="GW1056" s="91"/>
      <c r="GX1056" s="91"/>
      <c r="GY1056" s="91"/>
      <c r="GZ1056" s="91"/>
      <c r="HA1056" s="91"/>
      <c r="HB1056" s="91"/>
      <c r="HC1056" s="91"/>
      <c r="HD1056" s="91"/>
      <c r="HE1056" s="91"/>
      <c r="HF1056" s="91"/>
      <c r="HG1056" s="91"/>
      <c r="HH1056" s="91"/>
      <c r="HI1056" s="91"/>
      <c r="HJ1056" s="91"/>
      <c r="HK1056" s="91"/>
      <c r="HL1056" s="91"/>
      <c r="HM1056" s="91"/>
      <c r="HN1056" s="91"/>
      <c r="HO1056" s="91"/>
      <c r="HP1056" s="91"/>
      <c r="HQ1056" s="91"/>
      <c r="HR1056" s="91"/>
      <c r="HS1056" s="91"/>
      <c r="HT1056" s="91"/>
      <c r="HU1056" s="91"/>
      <c r="HV1056" s="91"/>
      <c r="HW1056" s="91"/>
      <c r="HX1056" s="91"/>
      <c r="HY1056" s="91"/>
      <c r="HZ1056" s="91"/>
      <c r="IA1056" s="91"/>
      <c r="IB1056" s="91"/>
      <c r="IC1056" s="91"/>
      <c r="ID1056" s="91"/>
      <c r="IE1056" s="91"/>
    </row>
    <row r="1057" spans="2:239" ht="15" x14ac:dyDescent="0.2">
      <c r="B1057" s="91"/>
      <c r="C1057" s="91"/>
      <c r="D1057" s="91"/>
      <c r="E1057" s="227"/>
      <c r="F1057" s="91"/>
      <c r="G1057" s="91"/>
      <c r="H1057" s="91"/>
      <c r="I1057" s="91"/>
      <c r="J1057" s="91"/>
      <c r="K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c r="FB1057" s="91"/>
      <c r="FC1057" s="91"/>
      <c r="FD1057" s="91"/>
      <c r="FE1057" s="91"/>
      <c r="FF1057" s="91"/>
      <c r="FG1057" s="91"/>
      <c r="FH1057" s="91"/>
      <c r="FI1057" s="91"/>
      <c r="FJ1057" s="91"/>
      <c r="FK1057" s="91"/>
      <c r="FL1057" s="91"/>
      <c r="FM1057" s="91"/>
      <c r="FN1057" s="91"/>
      <c r="FO1057" s="91"/>
      <c r="FP1057" s="91"/>
      <c r="FQ1057" s="91"/>
      <c r="FR1057" s="91"/>
      <c r="FS1057" s="91"/>
      <c r="FT1057" s="91"/>
      <c r="FU1057" s="91"/>
      <c r="FV1057" s="91"/>
      <c r="FW1057" s="91"/>
      <c r="FX1057" s="91"/>
      <c r="FY1057" s="91"/>
      <c r="FZ1057" s="91"/>
      <c r="GA1057" s="91"/>
      <c r="GB1057" s="91"/>
      <c r="GC1057" s="91"/>
      <c r="GD1057" s="91"/>
      <c r="GE1057" s="91"/>
      <c r="GF1057" s="91"/>
      <c r="GG1057" s="91"/>
      <c r="GH1057" s="91"/>
      <c r="GI1057" s="91"/>
      <c r="GJ1057" s="91"/>
      <c r="GK1057" s="91"/>
      <c r="GL1057" s="91"/>
      <c r="GM1057" s="91"/>
      <c r="GN1057" s="91"/>
      <c r="GO1057" s="91"/>
      <c r="GP1057" s="91"/>
      <c r="GQ1057" s="91"/>
      <c r="GR1057" s="91"/>
      <c r="GS1057" s="91"/>
      <c r="GT1057" s="91"/>
      <c r="GU1057" s="91"/>
      <c r="GV1057" s="91"/>
      <c r="GW1057" s="91"/>
      <c r="GX1057" s="91"/>
      <c r="GY1057" s="91"/>
      <c r="GZ1057" s="91"/>
      <c r="HA1057" s="91"/>
      <c r="HB1057" s="91"/>
      <c r="HC1057" s="91"/>
      <c r="HD1057" s="91"/>
      <c r="HE1057" s="91"/>
      <c r="HF1057" s="91"/>
      <c r="HG1057" s="91"/>
      <c r="HH1057" s="91"/>
      <c r="HI1057" s="91"/>
      <c r="HJ1057" s="91"/>
      <c r="HK1057" s="91"/>
      <c r="HL1057" s="91"/>
      <c r="HM1057" s="91"/>
      <c r="HN1057" s="91"/>
      <c r="HO1057" s="91"/>
      <c r="HP1057" s="91"/>
      <c r="HQ1057" s="91"/>
      <c r="HR1057" s="91"/>
      <c r="HS1057" s="91"/>
      <c r="HT1057" s="91"/>
      <c r="HU1057" s="91"/>
      <c r="HV1057" s="91"/>
      <c r="HW1057" s="91"/>
      <c r="HX1057" s="91"/>
      <c r="HY1057" s="91"/>
      <c r="HZ1057" s="91"/>
      <c r="IA1057" s="91"/>
      <c r="IB1057" s="91"/>
      <c r="IC1057" s="91"/>
      <c r="ID1057" s="91"/>
      <c r="IE1057" s="91"/>
    </row>
    <row r="1058" spans="2:239" ht="15" x14ac:dyDescent="0.2">
      <c r="B1058" s="91"/>
      <c r="C1058" s="91"/>
      <c r="D1058" s="91"/>
      <c r="E1058" s="227"/>
      <c r="F1058" s="91"/>
      <c r="G1058" s="91"/>
      <c r="H1058" s="91"/>
      <c r="I1058" s="91"/>
      <c r="J1058" s="91"/>
      <c r="K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c r="GU1058" s="91"/>
      <c r="GV1058" s="91"/>
      <c r="GW1058" s="91"/>
      <c r="GX1058" s="91"/>
      <c r="GY1058" s="91"/>
      <c r="GZ1058" s="91"/>
      <c r="HA1058" s="91"/>
      <c r="HB1058" s="91"/>
      <c r="HC1058" s="91"/>
      <c r="HD1058" s="91"/>
      <c r="HE1058" s="91"/>
      <c r="HF1058" s="91"/>
      <c r="HG1058" s="91"/>
      <c r="HH1058" s="91"/>
      <c r="HI1058" s="91"/>
      <c r="HJ1058" s="91"/>
      <c r="HK1058" s="91"/>
      <c r="HL1058" s="91"/>
      <c r="HM1058" s="91"/>
      <c r="HN1058" s="91"/>
      <c r="HO1058" s="91"/>
      <c r="HP1058" s="91"/>
      <c r="HQ1058" s="91"/>
      <c r="HR1058" s="91"/>
      <c r="HS1058" s="91"/>
      <c r="HT1058" s="91"/>
      <c r="HU1058" s="91"/>
      <c r="HV1058" s="91"/>
      <c r="HW1058" s="91"/>
      <c r="HX1058" s="91"/>
      <c r="HY1058" s="91"/>
      <c r="HZ1058" s="91"/>
      <c r="IA1058" s="91"/>
      <c r="IB1058" s="91"/>
      <c r="IC1058" s="91"/>
      <c r="ID1058" s="91"/>
      <c r="IE1058" s="91"/>
    </row>
    <row r="1059" spans="2:239" ht="15" x14ac:dyDescent="0.2">
      <c r="B1059" s="91"/>
      <c r="C1059" s="91"/>
      <c r="D1059" s="91"/>
      <c r="E1059" s="227"/>
      <c r="F1059" s="91"/>
      <c r="G1059" s="91"/>
      <c r="H1059" s="91"/>
      <c r="I1059" s="91"/>
      <c r="J1059" s="91"/>
      <c r="K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c r="FB1059" s="91"/>
      <c r="FC1059" s="91"/>
      <c r="FD1059" s="91"/>
      <c r="FE1059" s="91"/>
      <c r="FF1059" s="91"/>
      <c r="FG1059" s="91"/>
      <c r="FH1059" s="91"/>
      <c r="FI1059" s="91"/>
      <c r="FJ1059" s="91"/>
      <c r="FK1059" s="91"/>
      <c r="FL1059" s="91"/>
      <c r="FM1059" s="91"/>
      <c r="FN1059" s="91"/>
      <c r="FO1059" s="91"/>
      <c r="FP1059" s="91"/>
      <c r="FQ1059" s="91"/>
      <c r="FR1059" s="91"/>
      <c r="FS1059" s="91"/>
      <c r="FT1059" s="91"/>
      <c r="FU1059" s="91"/>
      <c r="FV1059" s="91"/>
      <c r="FW1059" s="91"/>
      <c r="FX1059" s="91"/>
      <c r="FY1059" s="91"/>
      <c r="FZ1059" s="91"/>
      <c r="GA1059" s="91"/>
      <c r="GB1059" s="91"/>
      <c r="GC1059" s="91"/>
      <c r="GD1059" s="91"/>
      <c r="GE1059" s="91"/>
      <c r="GF1059" s="91"/>
      <c r="GG1059" s="91"/>
      <c r="GH1059" s="91"/>
      <c r="GI1059" s="91"/>
      <c r="GJ1059" s="91"/>
      <c r="GK1059" s="91"/>
      <c r="GL1059" s="91"/>
      <c r="GM1059" s="91"/>
      <c r="GN1059" s="91"/>
      <c r="GO1059" s="91"/>
      <c r="GP1059" s="91"/>
      <c r="GQ1059" s="91"/>
      <c r="GR1059" s="91"/>
      <c r="GS1059" s="91"/>
      <c r="GT1059" s="91"/>
      <c r="GU1059" s="91"/>
      <c r="GV1059" s="91"/>
      <c r="GW1059" s="91"/>
      <c r="GX1059" s="91"/>
      <c r="GY1059" s="91"/>
      <c r="GZ1059" s="91"/>
      <c r="HA1059" s="91"/>
      <c r="HB1059" s="91"/>
      <c r="HC1059" s="91"/>
      <c r="HD1059" s="91"/>
      <c r="HE1059" s="91"/>
      <c r="HF1059" s="91"/>
      <c r="HG1059" s="91"/>
      <c r="HH1059" s="91"/>
      <c r="HI1059" s="91"/>
      <c r="HJ1059" s="91"/>
      <c r="HK1059" s="91"/>
      <c r="HL1059" s="91"/>
      <c r="HM1059" s="91"/>
      <c r="HN1059" s="91"/>
      <c r="HO1059" s="91"/>
      <c r="HP1059" s="91"/>
      <c r="HQ1059" s="91"/>
      <c r="HR1059" s="91"/>
      <c r="HS1059" s="91"/>
      <c r="HT1059" s="91"/>
      <c r="HU1059" s="91"/>
      <c r="HV1059" s="91"/>
      <c r="HW1059" s="91"/>
      <c r="HX1059" s="91"/>
      <c r="HY1059" s="91"/>
      <c r="HZ1059" s="91"/>
      <c r="IA1059" s="91"/>
      <c r="IB1059" s="91"/>
      <c r="IC1059" s="91"/>
      <c r="ID1059" s="91"/>
      <c r="IE1059" s="91"/>
    </row>
    <row r="1060" spans="2:239" ht="15" x14ac:dyDescent="0.2">
      <c r="B1060" s="91"/>
      <c r="C1060" s="91"/>
      <c r="D1060" s="91"/>
      <c r="E1060" s="227"/>
      <c r="F1060" s="91"/>
      <c r="G1060" s="91"/>
      <c r="H1060" s="91"/>
      <c r="I1060" s="91"/>
      <c r="J1060" s="91"/>
      <c r="K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c r="GU1060" s="91"/>
      <c r="GV1060" s="91"/>
      <c r="GW1060" s="91"/>
      <c r="GX1060" s="91"/>
      <c r="GY1060" s="91"/>
      <c r="GZ1060" s="91"/>
      <c r="HA1060" s="91"/>
      <c r="HB1060" s="91"/>
      <c r="HC1060" s="91"/>
      <c r="HD1060" s="91"/>
      <c r="HE1060" s="91"/>
      <c r="HF1060" s="91"/>
      <c r="HG1060" s="91"/>
      <c r="HH1060" s="91"/>
      <c r="HI1060" s="91"/>
      <c r="HJ1060" s="91"/>
      <c r="HK1060" s="91"/>
      <c r="HL1060" s="91"/>
      <c r="HM1060" s="91"/>
      <c r="HN1060" s="91"/>
      <c r="HO1060" s="91"/>
      <c r="HP1060" s="91"/>
      <c r="HQ1060" s="91"/>
      <c r="HR1060" s="91"/>
      <c r="HS1060" s="91"/>
      <c r="HT1060" s="91"/>
      <c r="HU1060" s="91"/>
      <c r="HV1060" s="91"/>
      <c r="HW1060" s="91"/>
      <c r="HX1060" s="91"/>
      <c r="HY1060" s="91"/>
      <c r="HZ1060" s="91"/>
      <c r="IA1060" s="91"/>
      <c r="IB1060" s="91"/>
      <c r="IC1060" s="91"/>
      <c r="ID1060" s="91"/>
      <c r="IE1060" s="91"/>
    </row>
    <row r="1061" spans="2:239" ht="15" x14ac:dyDescent="0.2">
      <c r="B1061" s="91"/>
      <c r="C1061" s="91"/>
      <c r="D1061" s="91"/>
      <c r="E1061" s="227"/>
      <c r="F1061" s="91"/>
      <c r="G1061" s="91"/>
      <c r="H1061" s="91"/>
      <c r="I1061" s="91"/>
      <c r="J1061" s="91"/>
      <c r="K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c r="GU1061" s="91"/>
      <c r="GV1061" s="91"/>
      <c r="GW1061" s="91"/>
      <c r="GX1061" s="91"/>
      <c r="GY1061" s="91"/>
      <c r="GZ1061" s="91"/>
      <c r="HA1061" s="91"/>
      <c r="HB1061" s="91"/>
      <c r="HC1061" s="91"/>
      <c r="HD1061" s="91"/>
      <c r="HE1061" s="91"/>
      <c r="HF1061" s="91"/>
      <c r="HG1061" s="91"/>
      <c r="HH1061" s="91"/>
      <c r="HI1061" s="91"/>
      <c r="HJ1061" s="91"/>
      <c r="HK1061" s="91"/>
      <c r="HL1061" s="91"/>
      <c r="HM1061" s="91"/>
      <c r="HN1061" s="91"/>
      <c r="HO1061" s="91"/>
      <c r="HP1061" s="91"/>
      <c r="HQ1061" s="91"/>
      <c r="HR1061" s="91"/>
      <c r="HS1061" s="91"/>
      <c r="HT1061" s="91"/>
      <c r="HU1061" s="91"/>
      <c r="HV1061" s="91"/>
      <c r="HW1061" s="91"/>
      <c r="HX1061" s="91"/>
      <c r="HY1061" s="91"/>
      <c r="HZ1061" s="91"/>
      <c r="IA1061" s="91"/>
      <c r="IB1061" s="91"/>
      <c r="IC1061" s="91"/>
      <c r="ID1061" s="91"/>
      <c r="IE1061" s="91"/>
    </row>
    <row r="1062" spans="2:239" ht="15" x14ac:dyDescent="0.2">
      <c r="B1062" s="91"/>
      <c r="C1062" s="91"/>
      <c r="D1062" s="91"/>
      <c r="E1062" s="227"/>
      <c r="F1062" s="91"/>
      <c r="G1062" s="91"/>
      <c r="H1062" s="91"/>
      <c r="I1062" s="91"/>
      <c r="J1062" s="91"/>
      <c r="K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c r="GU1062" s="91"/>
      <c r="GV1062" s="91"/>
      <c r="GW1062" s="91"/>
      <c r="GX1062" s="91"/>
      <c r="GY1062" s="91"/>
      <c r="GZ1062" s="91"/>
      <c r="HA1062" s="91"/>
      <c r="HB1062" s="91"/>
      <c r="HC1062" s="91"/>
      <c r="HD1062" s="91"/>
      <c r="HE1062" s="91"/>
      <c r="HF1062" s="91"/>
      <c r="HG1062" s="91"/>
      <c r="HH1062" s="91"/>
      <c r="HI1062" s="91"/>
      <c r="HJ1062" s="91"/>
      <c r="HK1062" s="91"/>
      <c r="HL1062" s="91"/>
      <c r="HM1062" s="91"/>
      <c r="HN1062" s="91"/>
      <c r="HO1062" s="91"/>
      <c r="HP1062" s="91"/>
      <c r="HQ1062" s="91"/>
      <c r="HR1062" s="91"/>
      <c r="HS1062" s="91"/>
      <c r="HT1062" s="91"/>
      <c r="HU1062" s="91"/>
      <c r="HV1062" s="91"/>
      <c r="HW1062" s="91"/>
      <c r="HX1062" s="91"/>
      <c r="HY1062" s="91"/>
      <c r="HZ1062" s="91"/>
      <c r="IA1062" s="91"/>
      <c r="IB1062" s="91"/>
      <c r="IC1062" s="91"/>
      <c r="ID1062" s="91"/>
      <c r="IE1062" s="91"/>
    </row>
    <row r="1063" spans="2:239" ht="15" x14ac:dyDescent="0.2">
      <c r="B1063" s="91"/>
      <c r="C1063" s="91"/>
      <c r="D1063" s="91"/>
      <c r="E1063" s="227"/>
      <c r="F1063" s="91"/>
      <c r="G1063" s="91"/>
      <c r="H1063" s="91"/>
      <c r="I1063" s="91"/>
      <c r="J1063" s="91"/>
      <c r="K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c r="FB1063" s="91"/>
      <c r="FC1063" s="91"/>
      <c r="FD1063" s="91"/>
      <c r="FE1063" s="91"/>
      <c r="FF1063" s="91"/>
      <c r="FG1063" s="91"/>
      <c r="FH1063" s="91"/>
      <c r="FI1063" s="91"/>
      <c r="FJ1063" s="91"/>
      <c r="FK1063" s="91"/>
      <c r="FL1063" s="91"/>
      <c r="FM1063" s="91"/>
      <c r="FN1063" s="91"/>
      <c r="FO1063" s="91"/>
      <c r="FP1063" s="91"/>
      <c r="FQ1063" s="91"/>
      <c r="FR1063" s="91"/>
      <c r="FS1063" s="91"/>
      <c r="FT1063" s="91"/>
      <c r="FU1063" s="91"/>
      <c r="FV1063" s="91"/>
      <c r="FW1063" s="91"/>
      <c r="FX1063" s="91"/>
      <c r="FY1063" s="91"/>
      <c r="FZ1063" s="91"/>
      <c r="GA1063" s="91"/>
      <c r="GB1063" s="91"/>
      <c r="GC1063" s="91"/>
      <c r="GD1063" s="91"/>
      <c r="GE1063" s="91"/>
      <c r="GF1063" s="91"/>
      <c r="GG1063" s="91"/>
      <c r="GH1063" s="91"/>
      <c r="GI1063" s="91"/>
      <c r="GJ1063" s="91"/>
      <c r="GK1063" s="91"/>
      <c r="GL1063" s="91"/>
      <c r="GM1063" s="91"/>
      <c r="GN1063" s="91"/>
      <c r="GO1063" s="91"/>
      <c r="GP1063" s="91"/>
      <c r="GQ1063" s="91"/>
      <c r="GR1063" s="91"/>
      <c r="GS1063" s="91"/>
      <c r="GT1063" s="91"/>
      <c r="GU1063" s="91"/>
      <c r="GV1063" s="91"/>
      <c r="GW1063" s="91"/>
      <c r="GX1063" s="91"/>
      <c r="GY1063" s="91"/>
      <c r="GZ1063" s="91"/>
      <c r="HA1063" s="91"/>
      <c r="HB1063" s="91"/>
      <c r="HC1063" s="91"/>
      <c r="HD1063" s="91"/>
      <c r="HE1063" s="91"/>
      <c r="HF1063" s="91"/>
      <c r="HG1063" s="91"/>
      <c r="HH1063" s="91"/>
      <c r="HI1063" s="91"/>
      <c r="HJ1063" s="91"/>
      <c r="HK1063" s="91"/>
      <c r="HL1063" s="91"/>
      <c r="HM1063" s="91"/>
      <c r="HN1063" s="91"/>
      <c r="HO1063" s="91"/>
      <c r="HP1063" s="91"/>
      <c r="HQ1063" s="91"/>
      <c r="HR1063" s="91"/>
      <c r="HS1063" s="91"/>
      <c r="HT1063" s="91"/>
      <c r="HU1063" s="91"/>
      <c r="HV1063" s="91"/>
      <c r="HW1063" s="91"/>
      <c r="HX1063" s="91"/>
      <c r="HY1063" s="91"/>
      <c r="HZ1063" s="91"/>
      <c r="IA1063" s="91"/>
      <c r="IB1063" s="91"/>
      <c r="IC1063" s="91"/>
      <c r="ID1063" s="91"/>
      <c r="IE1063" s="91"/>
    </row>
    <row r="1064" spans="2:239" ht="15" x14ac:dyDescent="0.2">
      <c r="B1064" s="91"/>
      <c r="C1064" s="91"/>
      <c r="D1064" s="91"/>
      <c r="E1064" s="227"/>
      <c r="F1064" s="91"/>
      <c r="G1064" s="91"/>
      <c r="H1064" s="91"/>
      <c r="I1064" s="91"/>
      <c r="J1064" s="91"/>
      <c r="K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c r="GU1064" s="91"/>
      <c r="GV1064" s="91"/>
      <c r="GW1064" s="91"/>
      <c r="GX1064" s="91"/>
      <c r="GY1064" s="91"/>
      <c r="GZ1064" s="91"/>
      <c r="HA1064" s="91"/>
      <c r="HB1064" s="91"/>
      <c r="HC1064" s="91"/>
      <c r="HD1064" s="91"/>
      <c r="HE1064" s="91"/>
      <c r="HF1064" s="91"/>
      <c r="HG1064" s="91"/>
      <c r="HH1064" s="91"/>
      <c r="HI1064" s="91"/>
      <c r="HJ1064" s="91"/>
      <c r="HK1064" s="91"/>
      <c r="HL1064" s="91"/>
      <c r="HM1064" s="91"/>
      <c r="HN1064" s="91"/>
      <c r="HO1064" s="91"/>
      <c r="HP1064" s="91"/>
      <c r="HQ1064" s="91"/>
      <c r="HR1064" s="91"/>
      <c r="HS1064" s="91"/>
      <c r="HT1064" s="91"/>
      <c r="HU1064" s="91"/>
      <c r="HV1064" s="91"/>
      <c r="HW1064" s="91"/>
      <c r="HX1064" s="91"/>
      <c r="HY1064" s="91"/>
      <c r="HZ1064" s="91"/>
      <c r="IA1064" s="91"/>
      <c r="IB1064" s="91"/>
      <c r="IC1064" s="91"/>
      <c r="ID1064" s="91"/>
      <c r="IE1064" s="91"/>
    </row>
    <row r="1065" spans="2:239" ht="15" x14ac:dyDescent="0.2">
      <c r="B1065" s="91"/>
      <c r="C1065" s="91"/>
      <c r="D1065" s="91"/>
      <c r="E1065" s="227"/>
      <c r="F1065" s="91"/>
      <c r="G1065" s="91"/>
      <c r="H1065" s="91"/>
      <c r="I1065" s="91"/>
      <c r="J1065" s="91"/>
      <c r="K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c r="FB1065" s="91"/>
      <c r="FC1065" s="91"/>
      <c r="FD1065" s="91"/>
      <c r="FE1065" s="91"/>
      <c r="FF1065" s="91"/>
      <c r="FG1065" s="91"/>
      <c r="FH1065" s="91"/>
      <c r="FI1065" s="91"/>
      <c r="FJ1065" s="91"/>
      <c r="FK1065" s="91"/>
      <c r="FL1065" s="91"/>
      <c r="FM1065" s="91"/>
      <c r="FN1065" s="91"/>
      <c r="FO1065" s="91"/>
      <c r="FP1065" s="91"/>
      <c r="FQ1065" s="91"/>
      <c r="FR1065" s="91"/>
      <c r="FS1065" s="91"/>
      <c r="FT1065" s="91"/>
      <c r="FU1065" s="91"/>
      <c r="FV1065" s="91"/>
      <c r="FW1065" s="91"/>
      <c r="FX1065" s="91"/>
      <c r="FY1065" s="91"/>
      <c r="FZ1065" s="91"/>
      <c r="GA1065" s="91"/>
      <c r="GB1065" s="91"/>
      <c r="GC1065" s="91"/>
      <c r="GD1065" s="91"/>
      <c r="GE1065" s="91"/>
      <c r="GF1065" s="91"/>
      <c r="GG1065" s="91"/>
      <c r="GH1065" s="91"/>
      <c r="GI1065" s="91"/>
      <c r="GJ1065" s="91"/>
      <c r="GK1065" s="91"/>
      <c r="GL1065" s="91"/>
      <c r="GM1065" s="91"/>
      <c r="GN1065" s="91"/>
      <c r="GO1065" s="91"/>
      <c r="GP1065" s="91"/>
      <c r="GQ1065" s="91"/>
      <c r="GR1065" s="91"/>
      <c r="GS1065" s="91"/>
      <c r="GT1065" s="91"/>
      <c r="GU1065" s="91"/>
      <c r="GV1065" s="91"/>
      <c r="GW1065" s="91"/>
      <c r="GX1065" s="91"/>
      <c r="GY1065" s="91"/>
      <c r="GZ1065" s="91"/>
      <c r="HA1065" s="91"/>
      <c r="HB1065" s="91"/>
      <c r="HC1065" s="91"/>
      <c r="HD1065" s="91"/>
      <c r="HE1065" s="91"/>
      <c r="HF1065" s="91"/>
      <c r="HG1065" s="91"/>
      <c r="HH1065" s="91"/>
      <c r="HI1065" s="91"/>
      <c r="HJ1065" s="91"/>
      <c r="HK1065" s="91"/>
      <c r="HL1065" s="91"/>
      <c r="HM1065" s="91"/>
      <c r="HN1065" s="91"/>
      <c r="HO1065" s="91"/>
      <c r="HP1065" s="91"/>
      <c r="HQ1065" s="91"/>
      <c r="HR1065" s="91"/>
      <c r="HS1065" s="91"/>
      <c r="HT1065" s="91"/>
      <c r="HU1065" s="91"/>
      <c r="HV1065" s="91"/>
      <c r="HW1065" s="91"/>
      <c r="HX1065" s="91"/>
      <c r="HY1065" s="91"/>
      <c r="HZ1065" s="91"/>
      <c r="IA1065" s="91"/>
      <c r="IB1065" s="91"/>
      <c r="IC1065" s="91"/>
      <c r="ID1065" s="91"/>
      <c r="IE1065" s="91"/>
    </row>
    <row r="1066" spans="2:239" ht="15" x14ac:dyDescent="0.2">
      <c r="B1066" s="91"/>
      <c r="C1066" s="91"/>
      <c r="D1066" s="91"/>
      <c r="E1066" s="227"/>
      <c r="F1066" s="91"/>
      <c r="G1066" s="91"/>
      <c r="H1066" s="91"/>
      <c r="I1066" s="91"/>
      <c r="J1066" s="91"/>
      <c r="K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c r="GU1066" s="91"/>
      <c r="GV1066" s="91"/>
      <c r="GW1066" s="91"/>
      <c r="GX1066" s="91"/>
      <c r="GY1066" s="91"/>
      <c r="GZ1066" s="91"/>
      <c r="HA1066" s="91"/>
      <c r="HB1066" s="91"/>
      <c r="HC1066" s="91"/>
      <c r="HD1066" s="91"/>
      <c r="HE1066" s="91"/>
      <c r="HF1066" s="91"/>
      <c r="HG1066" s="91"/>
      <c r="HH1066" s="91"/>
      <c r="HI1066" s="91"/>
      <c r="HJ1066" s="91"/>
      <c r="HK1066" s="91"/>
      <c r="HL1066" s="91"/>
      <c r="HM1066" s="91"/>
      <c r="HN1066" s="91"/>
      <c r="HO1066" s="91"/>
      <c r="HP1066" s="91"/>
      <c r="HQ1066" s="91"/>
      <c r="HR1066" s="91"/>
      <c r="HS1066" s="91"/>
      <c r="HT1066" s="91"/>
      <c r="HU1066" s="91"/>
      <c r="HV1066" s="91"/>
      <c r="HW1066" s="91"/>
      <c r="HX1066" s="91"/>
      <c r="HY1066" s="91"/>
      <c r="HZ1066" s="91"/>
      <c r="IA1066" s="91"/>
      <c r="IB1066" s="91"/>
      <c r="IC1066" s="91"/>
      <c r="ID1066" s="91"/>
      <c r="IE1066" s="91"/>
    </row>
    <row r="1067" spans="2:239" ht="15" x14ac:dyDescent="0.2">
      <c r="B1067" s="91"/>
      <c r="C1067" s="91"/>
      <c r="D1067" s="91"/>
      <c r="E1067" s="227"/>
      <c r="F1067" s="91"/>
      <c r="G1067" s="91"/>
      <c r="H1067" s="91"/>
      <c r="I1067" s="91"/>
      <c r="J1067" s="91"/>
      <c r="K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c r="FB1067" s="91"/>
      <c r="FC1067" s="91"/>
      <c r="FD1067" s="91"/>
      <c r="FE1067" s="91"/>
      <c r="FF1067" s="91"/>
      <c r="FG1067" s="91"/>
      <c r="FH1067" s="91"/>
      <c r="FI1067" s="91"/>
      <c r="FJ1067" s="91"/>
      <c r="FK1067" s="91"/>
      <c r="FL1067" s="91"/>
      <c r="FM1067" s="91"/>
      <c r="FN1067" s="91"/>
      <c r="FO1067" s="91"/>
      <c r="FP1067" s="91"/>
      <c r="FQ1067" s="91"/>
      <c r="FR1067" s="91"/>
      <c r="FS1067" s="91"/>
      <c r="FT1067" s="91"/>
      <c r="FU1067" s="91"/>
      <c r="FV1067" s="91"/>
      <c r="FW1067" s="91"/>
      <c r="FX1067" s="91"/>
      <c r="FY1067" s="91"/>
      <c r="FZ1067" s="91"/>
      <c r="GA1067" s="91"/>
      <c r="GB1067" s="91"/>
      <c r="GC1067" s="91"/>
      <c r="GD1067" s="91"/>
      <c r="GE1067" s="91"/>
      <c r="GF1067" s="91"/>
      <c r="GG1067" s="91"/>
      <c r="GH1067" s="91"/>
      <c r="GI1067" s="91"/>
      <c r="GJ1067" s="91"/>
      <c r="GK1067" s="91"/>
      <c r="GL1067" s="91"/>
      <c r="GM1067" s="91"/>
      <c r="GN1067" s="91"/>
      <c r="GO1067" s="91"/>
      <c r="GP1067" s="91"/>
      <c r="GQ1067" s="91"/>
      <c r="GR1067" s="91"/>
      <c r="GS1067" s="91"/>
      <c r="GT1067" s="91"/>
      <c r="GU1067" s="91"/>
      <c r="GV1067" s="91"/>
      <c r="GW1067" s="91"/>
      <c r="GX1067" s="91"/>
      <c r="GY1067" s="91"/>
      <c r="GZ1067" s="91"/>
      <c r="HA1067" s="91"/>
      <c r="HB1067" s="91"/>
      <c r="HC1067" s="91"/>
      <c r="HD1067" s="91"/>
      <c r="HE1067" s="91"/>
      <c r="HF1067" s="91"/>
      <c r="HG1067" s="91"/>
      <c r="HH1067" s="91"/>
      <c r="HI1067" s="91"/>
      <c r="HJ1067" s="91"/>
      <c r="HK1067" s="91"/>
      <c r="HL1067" s="91"/>
      <c r="HM1067" s="91"/>
      <c r="HN1067" s="91"/>
      <c r="HO1067" s="91"/>
      <c r="HP1067" s="91"/>
      <c r="HQ1067" s="91"/>
      <c r="HR1067" s="91"/>
      <c r="HS1067" s="91"/>
      <c r="HT1067" s="91"/>
      <c r="HU1067" s="91"/>
      <c r="HV1067" s="91"/>
      <c r="HW1067" s="91"/>
      <c r="HX1067" s="91"/>
      <c r="HY1067" s="91"/>
      <c r="HZ1067" s="91"/>
      <c r="IA1067" s="91"/>
      <c r="IB1067" s="91"/>
      <c r="IC1067" s="91"/>
      <c r="ID1067" s="91"/>
      <c r="IE1067" s="91"/>
    </row>
    <row r="1068" spans="2:239" ht="15" x14ac:dyDescent="0.2">
      <c r="B1068" s="91"/>
      <c r="C1068" s="91"/>
      <c r="D1068" s="91"/>
      <c r="E1068" s="227"/>
      <c r="F1068" s="91"/>
      <c r="G1068" s="91"/>
      <c r="H1068" s="91"/>
      <c r="I1068" s="91"/>
      <c r="J1068" s="91"/>
      <c r="K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91"/>
      <c r="HJ1068" s="91"/>
      <c r="HK1068" s="91"/>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row>
    <row r="1069" spans="2:239" ht="15" x14ac:dyDescent="0.2">
      <c r="B1069" s="91"/>
      <c r="C1069" s="91"/>
      <c r="D1069" s="91"/>
      <c r="E1069" s="227"/>
      <c r="F1069" s="91"/>
      <c r="G1069" s="91"/>
      <c r="H1069" s="91"/>
      <c r="I1069" s="91"/>
      <c r="J1069" s="91"/>
      <c r="K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c r="FB1069" s="91"/>
      <c r="FC1069" s="91"/>
      <c r="FD1069" s="91"/>
      <c r="FE1069" s="91"/>
      <c r="FF1069" s="91"/>
      <c r="FG1069" s="91"/>
      <c r="FH1069" s="91"/>
      <c r="FI1069" s="91"/>
      <c r="FJ1069" s="91"/>
      <c r="FK1069" s="91"/>
      <c r="FL1069" s="91"/>
      <c r="FM1069" s="91"/>
      <c r="FN1069" s="91"/>
      <c r="FO1069" s="91"/>
      <c r="FP1069" s="91"/>
      <c r="FQ1069" s="91"/>
      <c r="FR1069" s="91"/>
      <c r="FS1069" s="91"/>
      <c r="FT1069" s="91"/>
      <c r="FU1069" s="91"/>
      <c r="FV1069" s="91"/>
      <c r="FW1069" s="91"/>
      <c r="FX1069" s="91"/>
      <c r="FY1069" s="91"/>
      <c r="FZ1069" s="91"/>
      <c r="GA1069" s="91"/>
      <c r="GB1069" s="91"/>
      <c r="GC1069" s="91"/>
      <c r="GD1069" s="91"/>
      <c r="GE1069" s="91"/>
      <c r="GF1069" s="91"/>
      <c r="GG1069" s="91"/>
      <c r="GH1069" s="91"/>
      <c r="GI1069" s="91"/>
      <c r="GJ1069" s="91"/>
      <c r="GK1069" s="91"/>
      <c r="GL1069" s="91"/>
      <c r="GM1069" s="91"/>
      <c r="GN1069" s="91"/>
      <c r="GO1069" s="91"/>
      <c r="GP1069" s="91"/>
      <c r="GQ1069" s="91"/>
      <c r="GR1069" s="91"/>
      <c r="GS1069" s="91"/>
      <c r="GT1069" s="91"/>
      <c r="GU1069" s="91"/>
      <c r="GV1069" s="91"/>
      <c r="GW1069" s="91"/>
      <c r="GX1069" s="91"/>
      <c r="GY1069" s="91"/>
      <c r="GZ1069" s="91"/>
      <c r="HA1069" s="91"/>
      <c r="HB1069" s="91"/>
      <c r="HC1069" s="91"/>
      <c r="HD1069" s="91"/>
      <c r="HE1069" s="91"/>
      <c r="HF1069" s="91"/>
      <c r="HG1069" s="91"/>
      <c r="HH1069" s="91"/>
      <c r="HI1069" s="91"/>
      <c r="HJ1069" s="91"/>
      <c r="HK1069" s="91"/>
      <c r="HL1069" s="91"/>
      <c r="HM1069" s="91"/>
      <c r="HN1069" s="91"/>
      <c r="HO1069" s="91"/>
      <c r="HP1069" s="91"/>
      <c r="HQ1069" s="91"/>
      <c r="HR1069" s="91"/>
      <c r="HS1069" s="91"/>
      <c r="HT1069" s="91"/>
      <c r="HU1069" s="91"/>
      <c r="HV1069" s="91"/>
      <c r="HW1069" s="91"/>
      <c r="HX1069" s="91"/>
      <c r="HY1069" s="91"/>
      <c r="HZ1069" s="91"/>
      <c r="IA1069" s="91"/>
      <c r="IB1069" s="91"/>
      <c r="IC1069" s="91"/>
      <c r="ID1069" s="91"/>
      <c r="IE1069" s="91"/>
    </row>
    <row r="1070" spans="2:239" ht="15" x14ac:dyDescent="0.2">
      <c r="B1070" s="91"/>
      <c r="C1070" s="91"/>
      <c r="D1070" s="91"/>
      <c r="E1070" s="227"/>
      <c r="F1070" s="91"/>
      <c r="G1070" s="91"/>
      <c r="H1070" s="91"/>
      <c r="I1070" s="91"/>
      <c r="J1070" s="91"/>
      <c r="K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c r="GU1070" s="91"/>
      <c r="GV1070" s="91"/>
      <c r="GW1070" s="91"/>
      <c r="GX1070" s="91"/>
      <c r="GY1070" s="91"/>
      <c r="GZ1070" s="91"/>
      <c r="HA1070" s="91"/>
      <c r="HB1070" s="91"/>
      <c r="HC1070" s="91"/>
      <c r="HD1070" s="91"/>
      <c r="HE1070" s="91"/>
      <c r="HF1070" s="91"/>
      <c r="HG1070" s="91"/>
      <c r="HH1070" s="91"/>
      <c r="HI1070" s="91"/>
      <c r="HJ1070" s="91"/>
      <c r="HK1070" s="91"/>
      <c r="HL1070" s="91"/>
      <c r="HM1070" s="91"/>
      <c r="HN1070" s="91"/>
      <c r="HO1070" s="91"/>
      <c r="HP1070" s="91"/>
      <c r="HQ1070" s="91"/>
      <c r="HR1070" s="91"/>
      <c r="HS1070" s="91"/>
      <c r="HT1070" s="91"/>
      <c r="HU1070" s="91"/>
      <c r="HV1070" s="91"/>
      <c r="HW1070" s="91"/>
      <c r="HX1070" s="91"/>
      <c r="HY1070" s="91"/>
      <c r="HZ1070" s="91"/>
      <c r="IA1070" s="91"/>
      <c r="IB1070" s="91"/>
      <c r="IC1070" s="91"/>
      <c r="ID1070" s="91"/>
      <c r="IE1070" s="91"/>
    </row>
    <row r="1071" spans="2:239" ht="15" x14ac:dyDescent="0.2">
      <c r="B1071" s="91"/>
      <c r="C1071" s="91"/>
      <c r="D1071" s="91"/>
      <c r="E1071" s="227"/>
      <c r="F1071" s="91"/>
      <c r="G1071" s="91"/>
      <c r="H1071" s="91"/>
      <c r="I1071" s="91"/>
      <c r="J1071" s="91"/>
      <c r="K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c r="FB1071" s="91"/>
      <c r="FC1071" s="91"/>
      <c r="FD1071" s="91"/>
      <c r="FE1071" s="91"/>
      <c r="FF1071" s="91"/>
      <c r="FG1071" s="91"/>
      <c r="FH1071" s="91"/>
      <c r="FI1071" s="91"/>
      <c r="FJ1071" s="91"/>
      <c r="FK1071" s="91"/>
      <c r="FL1071" s="91"/>
      <c r="FM1071" s="91"/>
      <c r="FN1071" s="91"/>
      <c r="FO1071" s="91"/>
      <c r="FP1071" s="91"/>
      <c r="FQ1071" s="91"/>
      <c r="FR1071" s="91"/>
      <c r="FS1071" s="91"/>
      <c r="FT1071" s="91"/>
      <c r="FU1071" s="91"/>
      <c r="FV1071" s="91"/>
      <c r="FW1071" s="91"/>
      <c r="FX1071" s="91"/>
      <c r="FY1071" s="91"/>
      <c r="FZ1071" s="91"/>
      <c r="GA1071" s="91"/>
      <c r="GB1071" s="91"/>
      <c r="GC1071" s="91"/>
      <c r="GD1071" s="91"/>
      <c r="GE1071" s="91"/>
      <c r="GF1071" s="91"/>
      <c r="GG1071" s="91"/>
      <c r="GH1071" s="91"/>
      <c r="GI1071" s="91"/>
      <c r="GJ1071" s="91"/>
      <c r="GK1071" s="91"/>
      <c r="GL1071" s="91"/>
      <c r="GM1071" s="91"/>
      <c r="GN1071" s="91"/>
      <c r="GO1071" s="91"/>
      <c r="GP1071" s="91"/>
      <c r="GQ1071" s="91"/>
      <c r="GR1071" s="91"/>
      <c r="GS1071" s="91"/>
      <c r="GT1071" s="91"/>
      <c r="GU1071" s="91"/>
      <c r="GV1071" s="91"/>
      <c r="GW1071" s="91"/>
      <c r="GX1071" s="91"/>
      <c r="GY1071" s="91"/>
      <c r="GZ1071" s="91"/>
      <c r="HA1071" s="91"/>
      <c r="HB1071" s="91"/>
      <c r="HC1071" s="91"/>
      <c r="HD1071" s="91"/>
      <c r="HE1071" s="91"/>
      <c r="HF1071" s="91"/>
      <c r="HG1071" s="91"/>
      <c r="HH1071" s="91"/>
      <c r="HI1071" s="91"/>
      <c r="HJ1071" s="91"/>
      <c r="HK1071" s="91"/>
      <c r="HL1071" s="91"/>
      <c r="HM1071" s="91"/>
      <c r="HN1071" s="91"/>
      <c r="HO1071" s="91"/>
      <c r="HP1071" s="91"/>
      <c r="HQ1071" s="91"/>
      <c r="HR1071" s="91"/>
      <c r="HS1071" s="91"/>
      <c r="HT1071" s="91"/>
      <c r="HU1071" s="91"/>
      <c r="HV1071" s="91"/>
      <c r="HW1071" s="91"/>
      <c r="HX1071" s="91"/>
      <c r="HY1071" s="91"/>
      <c r="HZ1071" s="91"/>
      <c r="IA1071" s="91"/>
      <c r="IB1071" s="91"/>
      <c r="IC1071" s="91"/>
      <c r="ID1071" s="91"/>
      <c r="IE1071" s="91"/>
    </row>
    <row r="1072" spans="2:239" ht="15" x14ac:dyDescent="0.2">
      <c r="B1072" s="91"/>
      <c r="C1072" s="91"/>
      <c r="D1072" s="91"/>
      <c r="E1072" s="227"/>
      <c r="F1072" s="91"/>
      <c r="G1072" s="91"/>
      <c r="H1072" s="91"/>
      <c r="I1072" s="91"/>
      <c r="J1072" s="91"/>
      <c r="K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c r="GU1072" s="91"/>
      <c r="GV1072" s="91"/>
      <c r="GW1072" s="91"/>
      <c r="GX1072" s="91"/>
      <c r="GY1072" s="91"/>
      <c r="GZ1072" s="91"/>
      <c r="HA1072" s="91"/>
      <c r="HB1072" s="91"/>
      <c r="HC1072" s="91"/>
      <c r="HD1072" s="91"/>
      <c r="HE1072" s="91"/>
      <c r="HF1072" s="91"/>
      <c r="HG1072" s="91"/>
      <c r="HH1072" s="91"/>
      <c r="HI1072" s="91"/>
      <c r="HJ1072" s="91"/>
      <c r="HK1072" s="91"/>
      <c r="HL1072" s="91"/>
      <c r="HM1072" s="91"/>
      <c r="HN1072" s="91"/>
      <c r="HO1072" s="91"/>
      <c r="HP1072" s="91"/>
      <c r="HQ1072" s="91"/>
      <c r="HR1072" s="91"/>
      <c r="HS1072" s="91"/>
      <c r="HT1072" s="91"/>
      <c r="HU1072" s="91"/>
      <c r="HV1072" s="91"/>
      <c r="HW1072" s="91"/>
      <c r="HX1072" s="91"/>
      <c r="HY1072" s="91"/>
      <c r="HZ1072" s="91"/>
      <c r="IA1072" s="91"/>
      <c r="IB1072" s="91"/>
      <c r="IC1072" s="91"/>
      <c r="ID1072" s="91"/>
      <c r="IE1072" s="91"/>
    </row>
    <row r="1073" spans="2:239" ht="15" x14ac:dyDescent="0.2">
      <c r="B1073" s="91"/>
      <c r="C1073" s="91"/>
      <c r="D1073" s="91"/>
      <c r="E1073" s="227"/>
      <c r="F1073" s="91"/>
      <c r="G1073" s="91"/>
      <c r="H1073" s="91"/>
      <c r="I1073" s="91"/>
      <c r="J1073" s="91"/>
      <c r="K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c r="FB1073" s="91"/>
      <c r="FC1073" s="91"/>
      <c r="FD1073" s="91"/>
      <c r="FE1073" s="91"/>
      <c r="FF1073" s="91"/>
      <c r="FG1073" s="91"/>
      <c r="FH1073" s="91"/>
      <c r="FI1073" s="91"/>
      <c r="FJ1073" s="91"/>
      <c r="FK1073" s="91"/>
      <c r="FL1073" s="91"/>
      <c r="FM1073" s="91"/>
      <c r="FN1073" s="91"/>
      <c r="FO1073" s="91"/>
      <c r="FP1073" s="91"/>
      <c r="FQ1073" s="91"/>
      <c r="FR1073" s="91"/>
      <c r="FS1073" s="91"/>
      <c r="FT1073" s="91"/>
      <c r="FU1073" s="91"/>
      <c r="FV1073" s="91"/>
      <c r="FW1073" s="91"/>
      <c r="FX1073" s="91"/>
      <c r="FY1073" s="91"/>
      <c r="FZ1073" s="91"/>
      <c r="GA1073" s="91"/>
      <c r="GB1073" s="91"/>
      <c r="GC1073" s="91"/>
      <c r="GD1073" s="91"/>
      <c r="GE1073" s="91"/>
      <c r="GF1073" s="91"/>
      <c r="GG1073" s="91"/>
      <c r="GH1073" s="91"/>
      <c r="GI1073" s="91"/>
      <c r="GJ1073" s="91"/>
      <c r="GK1073" s="91"/>
      <c r="GL1073" s="91"/>
      <c r="GM1073" s="91"/>
      <c r="GN1073" s="91"/>
      <c r="GO1073" s="91"/>
      <c r="GP1073" s="91"/>
      <c r="GQ1073" s="91"/>
      <c r="GR1073" s="91"/>
      <c r="GS1073" s="91"/>
      <c r="GT1073" s="91"/>
      <c r="GU1073" s="91"/>
      <c r="GV1073" s="91"/>
      <c r="GW1073" s="91"/>
      <c r="GX1073" s="91"/>
      <c r="GY1073" s="91"/>
      <c r="GZ1073" s="91"/>
      <c r="HA1073" s="91"/>
      <c r="HB1073" s="91"/>
      <c r="HC1073" s="91"/>
      <c r="HD1073" s="91"/>
      <c r="HE1073" s="91"/>
      <c r="HF1073" s="91"/>
      <c r="HG1073" s="91"/>
      <c r="HH1073" s="91"/>
      <c r="HI1073" s="91"/>
      <c r="HJ1073" s="91"/>
      <c r="HK1073" s="91"/>
      <c r="HL1073" s="91"/>
      <c r="HM1073" s="91"/>
      <c r="HN1073" s="91"/>
      <c r="HO1073" s="91"/>
      <c r="HP1073" s="91"/>
      <c r="HQ1073" s="91"/>
      <c r="HR1073" s="91"/>
      <c r="HS1073" s="91"/>
      <c r="HT1073" s="91"/>
      <c r="HU1073" s="91"/>
      <c r="HV1073" s="91"/>
      <c r="HW1073" s="91"/>
      <c r="HX1073" s="91"/>
      <c r="HY1073" s="91"/>
      <c r="HZ1073" s="91"/>
      <c r="IA1073" s="91"/>
      <c r="IB1073" s="91"/>
      <c r="IC1073" s="91"/>
      <c r="ID1073" s="91"/>
      <c r="IE1073" s="91"/>
    </row>
    <row r="1074" spans="2:239" ht="15" x14ac:dyDescent="0.2">
      <c r="B1074" s="91"/>
      <c r="C1074" s="91"/>
      <c r="D1074" s="91"/>
      <c r="E1074" s="227"/>
      <c r="F1074" s="91"/>
      <c r="G1074" s="91"/>
      <c r="H1074" s="91"/>
      <c r="I1074" s="91"/>
      <c r="J1074" s="91"/>
      <c r="K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c r="GU1074" s="91"/>
      <c r="GV1074" s="91"/>
      <c r="GW1074" s="91"/>
      <c r="GX1074" s="91"/>
      <c r="GY1074" s="91"/>
      <c r="GZ1074" s="91"/>
      <c r="HA1074" s="91"/>
      <c r="HB1074" s="91"/>
      <c r="HC1074" s="91"/>
      <c r="HD1074" s="91"/>
      <c r="HE1074" s="91"/>
      <c r="HF1074" s="91"/>
      <c r="HG1074" s="91"/>
      <c r="HH1074" s="91"/>
      <c r="HI1074" s="91"/>
      <c r="HJ1074" s="91"/>
      <c r="HK1074" s="91"/>
      <c r="HL1074" s="91"/>
      <c r="HM1074" s="91"/>
      <c r="HN1074" s="91"/>
      <c r="HO1074" s="91"/>
      <c r="HP1074" s="91"/>
      <c r="HQ1074" s="91"/>
      <c r="HR1074" s="91"/>
      <c r="HS1074" s="91"/>
      <c r="HT1074" s="91"/>
      <c r="HU1074" s="91"/>
      <c r="HV1074" s="91"/>
      <c r="HW1074" s="91"/>
      <c r="HX1074" s="91"/>
      <c r="HY1074" s="91"/>
      <c r="HZ1074" s="91"/>
      <c r="IA1074" s="91"/>
      <c r="IB1074" s="91"/>
      <c r="IC1074" s="91"/>
      <c r="ID1074" s="91"/>
      <c r="IE1074" s="91"/>
    </row>
    <row r="1075" spans="2:239" ht="15" x14ac:dyDescent="0.2">
      <c r="B1075" s="91"/>
      <c r="C1075" s="91"/>
      <c r="D1075" s="91"/>
      <c r="E1075" s="227"/>
      <c r="F1075" s="91"/>
      <c r="G1075" s="91"/>
      <c r="H1075" s="91"/>
      <c r="I1075" s="91"/>
      <c r="J1075" s="91"/>
      <c r="K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c r="FB1075" s="91"/>
      <c r="FC1075" s="91"/>
      <c r="FD1075" s="91"/>
      <c r="FE1075" s="91"/>
      <c r="FF1075" s="91"/>
      <c r="FG1075" s="91"/>
      <c r="FH1075" s="91"/>
      <c r="FI1075" s="91"/>
      <c r="FJ1075" s="91"/>
      <c r="FK1075" s="91"/>
      <c r="FL1075" s="91"/>
      <c r="FM1075" s="91"/>
      <c r="FN1075" s="91"/>
      <c r="FO1075" s="91"/>
      <c r="FP1075" s="91"/>
      <c r="FQ1075" s="91"/>
      <c r="FR1075" s="91"/>
      <c r="FS1075" s="91"/>
      <c r="FT1075" s="91"/>
      <c r="FU1075" s="91"/>
      <c r="FV1075" s="91"/>
      <c r="FW1075" s="91"/>
      <c r="FX1075" s="91"/>
      <c r="FY1075" s="91"/>
      <c r="FZ1075" s="91"/>
      <c r="GA1075" s="91"/>
      <c r="GB1075" s="91"/>
      <c r="GC1075" s="91"/>
      <c r="GD1075" s="91"/>
      <c r="GE1075" s="91"/>
      <c r="GF1075" s="91"/>
      <c r="GG1075" s="91"/>
      <c r="GH1075" s="91"/>
      <c r="GI1075" s="91"/>
      <c r="GJ1075" s="91"/>
      <c r="GK1075" s="91"/>
      <c r="GL1075" s="91"/>
      <c r="GM1075" s="91"/>
      <c r="GN1075" s="91"/>
      <c r="GO1075" s="91"/>
      <c r="GP1075" s="91"/>
      <c r="GQ1075" s="91"/>
      <c r="GR1075" s="91"/>
      <c r="GS1075" s="91"/>
      <c r="GT1075" s="91"/>
      <c r="GU1075" s="91"/>
      <c r="GV1075" s="91"/>
      <c r="GW1075" s="91"/>
      <c r="GX1075" s="91"/>
      <c r="GY1075" s="91"/>
      <c r="GZ1075" s="91"/>
      <c r="HA1075" s="91"/>
      <c r="HB1075" s="91"/>
      <c r="HC1075" s="91"/>
      <c r="HD1075" s="91"/>
      <c r="HE1075" s="91"/>
      <c r="HF1075" s="91"/>
      <c r="HG1075" s="91"/>
      <c r="HH1075" s="91"/>
      <c r="HI1075" s="91"/>
      <c r="HJ1075" s="91"/>
      <c r="HK1075" s="91"/>
      <c r="HL1075" s="91"/>
      <c r="HM1075" s="91"/>
      <c r="HN1075" s="91"/>
      <c r="HO1075" s="91"/>
      <c r="HP1075" s="91"/>
      <c r="HQ1075" s="91"/>
      <c r="HR1075" s="91"/>
      <c r="HS1075" s="91"/>
      <c r="HT1075" s="91"/>
      <c r="HU1075" s="91"/>
      <c r="HV1075" s="91"/>
      <c r="HW1075" s="91"/>
      <c r="HX1075" s="91"/>
      <c r="HY1075" s="91"/>
      <c r="HZ1075" s="91"/>
      <c r="IA1075" s="91"/>
      <c r="IB1075" s="91"/>
      <c r="IC1075" s="91"/>
      <c r="ID1075" s="91"/>
      <c r="IE1075" s="91"/>
    </row>
    <row r="1076" spans="2:239" ht="15" x14ac:dyDescent="0.2">
      <c r="B1076" s="91"/>
      <c r="C1076" s="91"/>
      <c r="D1076" s="91"/>
      <c r="E1076" s="227"/>
      <c r="F1076" s="91"/>
      <c r="G1076" s="91"/>
      <c r="H1076" s="91"/>
      <c r="I1076" s="91"/>
      <c r="J1076" s="91"/>
      <c r="K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c r="GU1076" s="91"/>
      <c r="GV1076" s="91"/>
      <c r="GW1076" s="91"/>
      <c r="GX1076" s="91"/>
      <c r="GY1076" s="91"/>
      <c r="GZ1076" s="91"/>
      <c r="HA1076" s="91"/>
      <c r="HB1076" s="91"/>
      <c r="HC1076" s="91"/>
      <c r="HD1076" s="91"/>
      <c r="HE1076" s="91"/>
      <c r="HF1076" s="91"/>
      <c r="HG1076" s="91"/>
      <c r="HH1076" s="91"/>
      <c r="HI1076" s="91"/>
      <c r="HJ1076" s="91"/>
      <c r="HK1076" s="91"/>
      <c r="HL1076" s="91"/>
      <c r="HM1076" s="91"/>
      <c r="HN1076" s="91"/>
      <c r="HO1076" s="91"/>
      <c r="HP1076" s="91"/>
      <c r="HQ1076" s="91"/>
      <c r="HR1076" s="91"/>
      <c r="HS1076" s="91"/>
      <c r="HT1076" s="91"/>
      <c r="HU1076" s="91"/>
      <c r="HV1076" s="91"/>
      <c r="HW1076" s="91"/>
      <c r="HX1076" s="91"/>
      <c r="HY1076" s="91"/>
      <c r="HZ1076" s="91"/>
      <c r="IA1076" s="91"/>
      <c r="IB1076" s="91"/>
      <c r="IC1076" s="91"/>
      <c r="ID1076" s="91"/>
      <c r="IE1076" s="91"/>
    </row>
    <row r="1077" spans="2:239" ht="15" x14ac:dyDescent="0.2">
      <c r="B1077" s="91"/>
      <c r="C1077" s="91"/>
      <c r="D1077" s="91"/>
      <c r="E1077" s="227"/>
      <c r="F1077" s="91"/>
      <c r="G1077" s="91"/>
      <c r="H1077" s="91"/>
      <c r="I1077" s="91"/>
      <c r="J1077" s="91"/>
      <c r="K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c r="FB1077" s="91"/>
      <c r="FC1077" s="91"/>
      <c r="FD1077" s="91"/>
      <c r="FE1077" s="91"/>
      <c r="FF1077" s="91"/>
      <c r="FG1077" s="91"/>
      <c r="FH1077" s="91"/>
      <c r="FI1077" s="91"/>
      <c r="FJ1077" s="91"/>
      <c r="FK1077" s="91"/>
      <c r="FL1077" s="91"/>
      <c r="FM1077" s="91"/>
      <c r="FN1077" s="91"/>
      <c r="FO1077" s="91"/>
      <c r="FP1077" s="91"/>
      <c r="FQ1077" s="91"/>
      <c r="FR1077" s="91"/>
      <c r="FS1077" s="91"/>
      <c r="FT1077" s="91"/>
      <c r="FU1077" s="91"/>
      <c r="FV1077" s="91"/>
      <c r="FW1077" s="91"/>
      <c r="FX1077" s="91"/>
      <c r="FY1077" s="91"/>
      <c r="FZ1077" s="91"/>
      <c r="GA1077" s="91"/>
      <c r="GB1077" s="91"/>
      <c r="GC1077" s="91"/>
      <c r="GD1077" s="91"/>
      <c r="GE1077" s="91"/>
      <c r="GF1077" s="91"/>
      <c r="GG1077" s="91"/>
      <c r="GH1077" s="91"/>
      <c r="GI1077" s="91"/>
      <c r="GJ1077" s="91"/>
      <c r="GK1077" s="91"/>
      <c r="GL1077" s="91"/>
      <c r="GM1077" s="91"/>
      <c r="GN1077" s="91"/>
      <c r="GO1077" s="91"/>
      <c r="GP1077" s="91"/>
      <c r="GQ1077" s="91"/>
      <c r="GR1077" s="91"/>
      <c r="GS1077" s="91"/>
      <c r="GT1077" s="91"/>
      <c r="GU1077" s="91"/>
      <c r="GV1077" s="91"/>
      <c r="GW1077" s="91"/>
      <c r="GX1077" s="91"/>
      <c r="GY1077" s="91"/>
      <c r="GZ1077" s="91"/>
      <c r="HA1077" s="91"/>
      <c r="HB1077" s="91"/>
      <c r="HC1077" s="91"/>
      <c r="HD1077" s="91"/>
      <c r="HE1077" s="91"/>
      <c r="HF1077" s="91"/>
      <c r="HG1077" s="91"/>
      <c r="HH1077" s="91"/>
      <c r="HI1077" s="91"/>
      <c r="HJ1077" s="91"/>
      <c r="HK1077" s="91"/>
      <c r="HL1077" s="91"/>
      <c r="HM1077" s="91"/>
      <c r="HN1077" s="91"/>
      <c r="HO1077" s="91"/>
      <c r="HP1077" s="91"/>
      <c r="HQ1077" s="91"/>
      <c r="HR1077" s="91"/>
      <c r="HS1077" s="91"/>
      <c r="HT1077" s="91"/>
      <c r="HU1077" s="91"/>
      <c r="HV1077" s="91"/>
      <c r="HW1077" s="91"/>
      <c r="HX1077" s="91"/>
      <c r="HY1077" s="91"/>
      <c r="HZ1077" s="91"/>
      <c r="IA1077" s="91"/>
      <c r="IB1077" s="91"/>
      <c r="IC1077" s="91"/>
      <c r="ID1077" s="91"/>
      <c r="IE1077" s="91"/>
    </row>
    <row r="1078" spans="2:239" ht="15" x14ac:dyDescent="0.2">
      <c r="B1078" s="91"/>
      <c r="C1078" s="91"/>
      <c r="D1078" s="91"/>
      <c r="E1078" s="227"/>
      <c r="F1078" s="91"/>
      <c r="G1078" s="91"/>
      <c r="H1078" s="91"/>
      <c r="I1078" s="91"/>
      <c r="J1078" s="91"/>
      <c r="K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c r="GU1078" s="91"/>
      <c r="GV1078" s="91"/>
      <c r="GW1078" s="91"/>
      <c r="GX1078" s="91"/>
      <c r="GY1078" s="91"/>
      <c r="GZ1078" s="91"/>
      <c r="HA1078" s="91"/>
      <c r="HB1078" s="91"/>
      <c r="HC1078" s="91"/>
      <c r="HD1078" s="91"/>
      <c r="HE1078" s="91"/>
      <c r="HF1078" s="91"/>
      <c r="HG1078" s="91"/>
      <c r="HH1078" s="91"/>
      <c r="HI1078" s="91"/>
      <c r="HJ1078" s="91"/>
      <c r="HK1078" s="91"/>
      <c r="HL1078" s="91"/>
      <c r="HM1078" s="91"/>
      <c r="HN1078" s="91"/>
      <c r="HO1078" s="91"/>
      <c r="HP1078" s="91"/>
      <c r="HQ1078" s="91"/>
      <c r="HR1078" s="91"/>
      <c r="HS1078" s="91"/>
      <c r="HT1078" s="91"/>
      <c r="HU1078" s="91"/>
      <c r="HV1078" s="91"/>
      <c r="HW1078" s="91"/>
      <c r="HX1078" s="91"/>
      <c r="HY1078" s="91"/>
      <c r="HZ1078" s="91"/>
      <c r="IA1078" s="91"/>
      <c r="IB1078" s="91"/>
      <c r="IC1078" s="91"/>
      <c r="ID1078" s="91"/>
      <c r="IE1078" s="91"/>
    </row>
    <row r="1079" spans="2:239" ht="15" x14ac:dyDescent="0.2">
      <c r="B1079" s="91"/>
      <c r="C1079" s="91"/>
      <c r="D1079" s="91"/>
      <c r="E1079" s="227"/>
      <c r="F1079" s="91"/>
      <c r="G1079" s="91"/>
      <c r="H1079" s="91"/>
      <c r="I1079" s="91"/>
      <c r="J1079" s="91"/>
      <c r="K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c r="FB1079" s="91"/>
      <c r="FC1079" s="91"/>
      <c r="FD1079" s="91"/>
      <c r="FE1079" s="91"/>
      <c r="FF1079" s="91"/>
      <c r="FG1079" s="91"/>
      <c r="FH1079" s="91"/>
      <c r="FI1079" s="91"/>
      <c r="FJ1079" s="91"/>
      <c r="FK1079" s="91"/>
      <c r="FL1079" s="91"/>
      <c r="FM1079" s="91"/>
      <c r="FN1079" s="91"/>
      <c r="FO1079" s="91"/>
      <c r="FP1079" s="91"/>
      <c r="FQ1079" s="91"/>
      <c r="FR1079" s="91"/>
      <c r="FS1079" s="91"/>
      <c r="FT1079" s="91"/>
      <c r="FU1079" s="91"/>
      <c r="FV1079" s="91"/>
      <c r="FW1079" s="91"/>
      <c r="FX1079" s="91"/>
      <c r="FY1079" s="91"/>
      <c r="FZ1079" s="91"/>
      <c r="GA1079" s="91"/>
      <c r="GB1079" s="91"/>
      <c r="GC1079" s="91"/>
      <c r="GD1079" s="91"/>
      <c r="GE1079" s="91"/>
      <c r="GF1079" s="91"/>
      <c r="GG1079" s="91"/>
      <c r="GH1079" s="91"/>
      <c r="GI1079" s="91"/>
      <c r="GJ1079" s="91"/>
      <c r="GK1079" s="91"/>
      <c r="GL1079" s="91"/>
      <c r="GM1079" s="91"/>
      <c r="GN1079" s="91"/>
      <c r="GO1079" s="91"/>
      <c r="GP1079" s="91"/>
      <c r="GQ1079" s="91"/>
      <c r="GR1079" s="91"/>
      <c r="GS1079" s="91"/>
      <c r="GT1079" s="91"/>
      <c r="GU1079" s="91"/>
      <c r="GV1079" s="91"/>
      <c r="GW1079" s="91"/>
      <c r="GX1079" s="91"/>
      <c r="GY1079" s="91"/>
      <c r="GZ1079" s="91"/>
      <c r="HA1079" s="91"/>
      <c r="HB1079" s="91"/>
      <c r="HC1079" s="91"/>
      <c r="HD1079" s="91"/>
      <c r="HE1079" s="91"/>
      <c r="HF1079" s="91"/>
      <c r="HG1079" s="91"/>
      <c r="HH1079" s="91"/>
      <c r="HI1079" s="91"/>
      <c r="HJ1079" s="91"/>
      <c r="HK1079" s="91"/>
      <c r="HL1079" s="91"/>
      <c r="HM1079" s="91"/>
      <c r="HN1079" s="91"/>
      <c r="HO1079" s="91"/>
      <c r="HP1079" s="91"/>
      <c r="HQ1079" s="91"/>
      <c r="HR1079" s="91"/>
      <c r="HS1079" s="91"/>
      <c r="HT1079" s="91"/>
      <c r="HU1079" s="91"/>
      <c r="HV1079" s="91"/>
      <c r="HW1079" s="91"/>
      <c r="HX1079" s="91"/>
      <c r="HY1079" s="91"/>
      <c r="HZ1079" s="91"/>
      <c r="IA1079" s="91"/>
      <c r="IB1079" s="91"/>
      <c r="IC1079" s="91"/>
      <c r="ID1079" s="91"/>
      <c r="IE1079" s="91"/>
    </row>
    <row r="1080" spans="2:239" ht="15" x14ac:dyDescent="0.2">
      <c r="B1080" s="91"/>
      <c r="C1080" s="91"/>
      <c r="D1080" s="91"/>
      <c r="E1080" s="227"/>
      <c r="F1080" s="91"/>
      <c r="G1080" s="91"/>
      <c r="H1080" s="91"/>
      <c r="I1080" s="91"/>
      <c r="J1080" s="91"/>
      <c r="K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c r="GU1080" s="91"/>
      <c r="GV1080" s="91"/>
      <c r="GW1080" s="91"/>
      <c r="GX1080" s="91"/>
      <c r="GY1080" s="91"/>
      <c r="GZ1080" s="91"/>
      <c r="HA1080" s="91"/>
      <c r="HB1080" s="91"/>
      <c r="HC1080" s="91"/>
      <c r="HD1080" s="91"/>
      <c r="HE1080" s="91"/>
      <c r="HF1080" s="91"/>
      <c r="HG1080" s="91"/>
      <c r="HH1080" s="91"/>
      <c r="HI1080" s="91"/>
      <c r="HJ1080" s="91"/>
      <c r="HK1080" s="91"/>
      <c r="HL1080" s="91"/>
      <c r="HM1080" s="91"/>
      <c r="HN1080" s="91"/>
      <c r="HO1080" s="91"/>
      <c r="HP1080" s="91"/>
      <c r="HQ1080" s="91"/>
      <c r="HR1080" s="91"/>
      <c r="HS1080" s="91"/>
      <c r="HT1080" s="91"/>
      <c r="HU1080" s="91"/>
      <c r="HV1080" s="91"/>
      <c r="HW1080" s="91"/>
      <c r="HX1080" s="91"/>
      <c r="HY1080" s="91"/>
      <c r="HZ1080" s="91"/>
      <c r="IA1080" s="91"/>
      <c r="IB1080" s="91"/>
      <c r="IC1080" s="91"/>
      <c r="ID1080" s="91"/>
      <c r="IE1080" s="91"/>
    </row>
    <row r="1081" spans="2:239" ht="15" x14ac:dyDescent="0.2">
      <c r="B1081" s="91"/>
      <c r="C1081" s="91"/>
      <c r="D1081" s="91"/>
      <c r="E1081" s="227"/>
      <c r="F1081" s="91"/>
      <c r="G1081" s="91"/>
      <c r="H1081" s="91"/>
      <c r="I1081" s="91"/>
      <c r="J1081" s="91"/>
      <c r="K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c r="FB1081" s="91"/>
      <c r="FC1081" s="91"/>
      <c r="FD1081" s="91"/>
      <c r="FE1081" s="91"/>
      <c r="FF1081" s="91"/>
      <c r="FG1081" s="91"/>
      <c r="FH1081" s="91"/>
      <c r="FI1081" s="91"/>
      <c r="FJ1081" s="91"/>
      <c r="FK1081" s="91"/>
      <c r="FL1081" s="91"/>
      <c r="FM1081" s="91"/>
      <c r="FN1081" s="91"/>
      <c r="FO1081" s="91"/>
      <c r="FP1081" s="91"/>
      <c r="FQ1081" s="91"/>
      <c r="FR1081" s="91"/>
      <c r="FS1081" s="91"/>
      <c r="FT1081" s="91"/>
      <c r="FU1081" s="91"/>
      <c r="FV1081" s="91"/>
      <c r="FW1081" s="91"/>
      <c r="FX1081" s="91"/>
      <c r="FY1081" s="91"/>
      <c r="FZ1081" s="91"/>
      <c r="GA1081" s="91"/>
      <c r="GB1081" s="91"/>
      <c r="GC1081" s="91"/>
      <c r="GD1081" s="91"/>
      <c r="GE1081" s="91"/>
      <c r="GF1081" s="91"/>
      <c r="GG1081" s="91"/>
      <c r="GH1081" s="91"/>
      <c r="GI1081" s="91"/>
      <c r="GJ1081" s="91"/>
      <c r="GK1081" s="91"/>
      <c r="GL1081" s="91"/>
      <c r="GM1081" s="91"/>
      <c r="GN1081" s="91"/>
      <c r="GO1081" s="91"/>
      <c r="GP1081" s="91"/>
      <c r="GQ1081" s="91"/>
      <c r="GR1081" s="91"/>
      <c r="GS1081" s="91"/>
      <c r="GT1081" s="91"/>
      <c r="GU1081" s="91"/>
      <c r="GV1081" s="91"/>
      <c r="GW1081" s="91"/>
      <c r="GX1081" s="91"/>
      <c r="GY1081" s="91"/>
      <c r="GZ1081" s="91"/>
      <c r="HA1081" s="91"/>
      <c r="HB1081" s="91"/>
      <c r="HC1081" s="91"/>
      <c r="HD1081" s="91"/>
      <c r="HE1081" s="91"/>
      <c r="HF1081" s="91"/>
      <c r="HG1081" s="91"/>
      <c r="HH1081" s="91"/>
      <c r="HI1081" s="91"/>
      <c r="HJ1081" s="91"/>
      <c r="HK1081" s="91"/>
      <c r="HL1081" s="91"/>
      <c r="HM1081" s="91"/>
      <c r="HN1081" s="91"/>
      <c r="HO1081" s="91"/>
      <c r="HP1081" s="91"/>
      <c r="HQ1081" s="91"/>
      <c r="HR1081" s="91"/>
      <c r="HS1081" s="91"/>
      <c r="HT1081" s="91"/>
      <c r="HU1081" s="91"/>
      <c r="HV1081" s="91"/>
      <c r="HW1081" s="91"/>
      <c r="HX1081" s="91"/>
      <c r="HY1081" s="91"/>
      <c r="HZ1081" s="91"/>
      <c r="IA1081" s="91"/>
      <c r="IB1081" s="91"/>
      <c r="IC1081" s="91"/>
      <c r="ID1081" s="91"/>
      <c r="IE1081" s="91"/>
    </row>
    <row r="1082" spans="2:239" ht="15" x14ac:dyDescent="0.2">
      <c r="B1082" s="91"/>
      <c r="C1082" s="91"/>
      <c r="D1082" s="91"/>
      <c r="E1082" s="227"/>
      <c r="F1082" s="91"/>
      <c r="G1082" s="91"/>
      <c r="H1082" s="91"/>
      <c r="I1082" s="91"/>
      <c r="J1082" s="91"/>
      <c r="K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91"/>
      <c r="HM1082" s="91"/>
      <c r="HN1082" s="91"/>
      <c r="HO1082" s="91"/>
      <c r="HP1082" s="91"/>
      <c r="HQ1082" s="91"/>
      <c r="HR1082" s="91"/>
      <c r="HS1082" s="91"/>
      <c r="HT1082" s="91"/>
      <c r="HU1082" s="91"/>
      <c r="HV1082" s="91"/>
      <c r="HW1082" s="91"/>
      <c r="HX1082" s="91"/>
      <c r="HY1082" s="91"/>
      <c r="HZ1082" s="91"/>
      <c r="IA1082" s="91"/>
      <c r="IB1082" s="91"/>
      <c r="IC1082" s="91"/>
      <c r="ID1082" s="91"/>
      <c r="IE1082" s="91"/>
    </row>
    <row r="1083" spans="2:239" ht="15" x14ac:dyDescent="0.2">
      <c r="B1083" s="91"/>
      <c r="C1083" s="91"/>
      <c r="D1083" s="91"/>
      <c r="E1083" s="227"/>
      <c r="F1083" s="91"/>
      <c r="G1083" s="91"/>
      <c r="H1083" s="91"/>
      <c r="I1083" s="91"/>
      <c r="J1083" s="91"/>
      <c r="K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c r="FB1083" s="91"/>
      <c r="FC1083" s="91"/>
      <c r="FD1083" s="91"/>
      <c r="FE1083" s="91"/>
      <c r="FF1083" s="91"/>
      <c r="FG1083" s="91"/>
      <c r="FH1083" s="91"/>
      <c r="FI1083" s="91"/>
      <c r="FJ1083" s="91"/>
      <c r="FK1083" s="91"/>
      <c r="FL1083" s="91"/>
      <c r="FM1083" s="91"/>
      <c r="FN1083" s="91"/>
      <c r="FO1083" s="91"/>
      <c r="FP1083" s="91"/>
      <c r="FQ1083" s="91"/>
      <c r="FR1083" s="91"/>
      <c r="FS1083" s="91"/>
      <c r="FT1083" s="91"/>
      <c r="FU1083" s="91"/>
      <c r="FV1083" s="91"/>
      <c r="FW1083" s="91"/>
      <c r="FX1083" s="91"/>
      <c r="FY1083" s="91"/>
      <c r="FZ1083" s="91"/>
      <c r="GA1083" s="91"/>
      <c r="GB1083" s="91"/>
      <c r="GC1083" s="91"/>
      <c r="GD1083" s="91"/>
      <c r="GE1083" s="91"/>
      <c r="GF1083" s="91"/>
      <c r="GG1083" s="91"/>
      <c r="GH1083" s="91"/>
      <c r="GI1083" s="91"/>
      <c r="GJ1083" s="91"/>
      <c r="GK1083" s="91"/>
      <c r="GL1083" s="91"/>
      <c r="GM1083" s="91"/>
      <c r="GN1083" s="91"/>
      <c r="GO1083" s="91"/>
      <c r="GP1083" s="91"/>
      <c r="GQ1083" s="91"/>
      <c r="GR1083" s="91"/>
      <c r="GS1083" s="91"/>
      <c r="GT1083" s="91"/>
      <c r="GU1083" s="91"/>
      <c r="GV1083" s="91"/>
      <c r="GW1083" s="91"/>
      <c r="GX1083" s="91"/>
      <c r="GY1083" s="91"/>
      <c r="GZ1083" s="91"/>
      <c r="HA1083" s="91"/>
      <c r="HB1083" s="91"/>
      <c r="HC1083" s="91"/>
      <c r="HD1083" s="91"/>
      <c r="HE1083" s="91"/>
      <c r="HF1083" s="91"/>
      <c r="HG1083" s="91"/>
      <c r="HH1083" s="91"/>
      <c r="HI1083" s="91"/>
      <c r="HJ1083" s="91"/>
      <c r="HK1083" s="91"/>
      <c r="HL1083" s="91"/>
      <c r="HM1083" s="91"/>
      <c r="HN1083" s="91"/>
      <c r="HO1083" s="91"/>
      <c r="HP1083" s="91"/>
      <c r="HQ1083" s="91"/>
      <c r="HR1083" s="91"/>
      <c r="HS1083" s="91"/>
      <c r="HT1083" s="91"/>
      <c r="HU1083" s="91"/>
      <c r="HV1083" s="91"/>
      <c r="HW1083" s="91"/>
      <c r="HX1083" s="91"/>
      <c r="HY1083" s="91"/>
      <c r="HZ1083" s="91"/>
      <c r="IA1083" s="91"/>
      <c r="IB1083" s="91"/>
      <c r="IC1083" s="91"/>
      <c r="ID1083" s="91"/>
      <c r="IE1083" s="91"/>
    </row>
    <row r="1084" spans="2:239" ht="15" x14ac:dyDescent="0.2">
      <c r="B1084" s="91"/>
      <c r="C1084" s="91"/>
      <c r="D1084" s="91"/>
      <c r="E1084" s="227"/>
      <c r="F1084" s="91"/>
      <c r="G1084" s="91"/>
      <c r="H1084" s="91"/>
      <c r="I1084" s="91"/>
      <c r="J1084" s="91"/>
      <c r="K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c r="GU1084" s="91"/>
      <c r="GV1084" s="91"/>
      <c r="GW1084" s="91"/>
      <c r="GX1084" s="91"/>
      <c r="GY1084" s="91"/>
      <c r="GZ1084" s="91"/>
      <c r="HA1084" s="91"/>
      <c r="HB1084" s="91"/>
      <c r="HC1084" s="91"/>
      <c r="HD1084" s="91"/>
      <c r="HE1084" s="91"/>
      <c r="HF1084" s="91"/>
      <c r="HG1084" s="91"/>
      <c r="HH1084" s="91"/>
      <c r="HI1084" s="91"/>
      <c r="HJ1084" s="91"/>
      <c r="HK1084" s="91"/>
      <c r="HL1084" s="91"/>
      <c r="HM1084" s="91"/>
      <c r="HN1084" s="91"/>
      <c r="HO1084" s="91"/>
      <c r="HP1084" s="91"/>
      <c r="HQ1084" s="91"/>
      <c r="HR1084" s="91"/>
      <c r="HS1084" s="91"/>
      <c r="HT1084" s="91"/>
      <c r="HU1084" s="91"/>
      <c r="HV1084" s="91"/>
      <c r="HW1084" s="91"/>
      <c r="HX1084" s="91"/>
      <c r="HY1084" s="91"/>
      <c r="HZ1084" s="91"/>
      <c r="IA1084" s="91"/>
      <c r="IB1084" s="91"/>
      <c r="IC1084" s="91"/>
      <c r="ID1084" s="91"/>
      <c r="IE1084" s="91"/>
    </row>
    <row r="1085" spans="2:239" ht="15" x14ac:dyDescent="0.2">
      <c r="B1085" s="91"/>
      <c r="C1085" s="91"/>
      <c r="D1085" s="91"/>
      <c r="E1085" s="227"/>
      <c r="F1085" s="91"/>
      <c r="G1085" s="91"/>
      <c r="H1085" s="91"/>
      <c r="I1085" s="91"/>
      <c r="J1085" s="91"/>
      <c r="K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c r="FB1085" s="91"/>
      <c r="FC1085" s="91"/>
      <c r="FD1085" s="91"/>
      <c r="FE1085" s="91"/>
      <c r="FF1085" s="91"/>
      <c r="FG1085" s="91"/>
      <c r="FH1085" s="91"/>
      <c r="FI1085" s="91"/>
      <c r="FJ1085" s="91"/>
      <c r="FK1085" s="91"/>
      <c r="FL1085" s="91"/>
      <c r="FM1085" s="91"/>
      <c r="FN1085" s="91"/>
      <c r="FO1085" s="91"/>
      <c r="FP1085" s="91"/>
      <c r="FQ1085" s="91"/>
      <c r="FR1085" s="91"/>
      <c r="FS1085" s="91"/>
      <c r="FT1085" s="91"/>
      <c r="FU1085" s="91"/>
      <c r="FV1085" s="91"/>
      <c r="FW1085" s="91"/>
      <c r="FX1085" s="91"/>
      <c r="FY1085" s="91"/>
      <c r="FZ1085" s="91"/>
      <c r="GA1085" s="91"/>
      <c r="GB1085" s="91"/>
      <c r="GC1085" s="91"/>
      <c r="GD1085" s="91"/>
      <c r="GE1085" s="91"/>
      <c r="GF1085" s="91"/>
      <c r="GG1085" s="91"/>
      <c r="GH1085" s="91"/>
      <c r="GI1085" s="91"/>
      <c r="GJ1085" s="91"/>
      <c r="GK1085" s="91"/>
      <c r="GL1085" s="91"/>
      <c r="GM1085" s="91"/>
      <c r="GN1085" s="91"/>
      <c r="GO1085" s="91"/>
      <c r="GP1085" s="91"/>
      <c r="GQ1085" s="91"/>
      <c r="GR1085" s="91"/>
      <c r="GS1085" s="91"/>
      <c r="GT1085" s="91"/>
      <c r="GU1085" s="91"/>
      <c r="GV1085" s="91"/>
      <c r="GW1085" s="91"/>
      <c r="GX1085" s="91"/>
      <c r="GY1085" s="91"/>
      <c r="GZ1085" s="91"/>
      <c r="HA1085" s="91"/>
      <c r="HB1085" s="91"/>
      <c r="HC1085" s="91"/>
      <c r="HD1085" s="91"/>
      <c r="HE1085" s="91"/>
      <c r="HF1085" s="91"/>
      <c r="HG1085" s="91"/>
      <c r="HH1085" s="91"/>
      <c r="HI1085" s="91"/>
      <c r="HJ1085" s="91"/>
      <c r="HK1085" s="91"/>
      <c r="HL1085" s="91"/>
      <c r="HM1085" s="91"/>
      <c r="HN1085" s="91"/>
      <c r="HO1085" s="91"/>
      <c r="HP1085" s="91"/>
      <c r="HQ1085" s="91"/>
      <c r="HR1085" s="91"/>
      <c r="HS1085" s="91"/>
      <c r="HT1085" s="91"/>
      <c r="HU1085" s="91"/>
      <c r="HV1085" s="91"/>
      <c r="HW1085" s="91"/>
      <c r="HX1085" s="91"/>
      <c r="HY1085" s="91"/>
      <c r="HZ1085" s="91"/>
      <c r="IA1085" s="91"/>
      <c r="IB1085" s="91"/>
      <c r="IC1085" s="91"/>
      <c r="ID1085" s="91"/>
      <c r="IE1085" s="91"/>
    </row>
    <row r="1086" spans="2:239" ht="15" x14ac:dyDescent="0.2">
      <c r="B1086" s="91"/>
      <c r="C1086" s="91"/>
      <c r="D1086" s="91"/>
      <c r="E1086" s="227"/>
      <c r="F1086" s="91"/>
      <c r="G1086" s="91"/>
      <c r="H1086" s="91"/>
      <c r="I1086" s="91"/>
      <c r="J1086" s="91"/>
      <c r="K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c r="GU1086" s="91"/>
      <c r="GV1086" s="91"/>
      <c r="GW1086" s="91"/>
      <c r="GX1086" s="91"/>
      <c r="GY1086" s="91"/>
      <c r="GZ1086" s="91"/>
      <c r="HA1086" s="91"/>
      <c r="HB1086" s="91"/>
      <c r="HC1086" s="91"/>
      <c r="HD1086" s="91"/>
      <c r="HE1086" s="91"/>
      <c r="HF1086" s="91"/>
      <c r="HG1086" s="91"/>
      <c r="HH1086" s="91"/>
      <c r="HI1086" s="91"/>
      <c r="HJ1086" s="91"/>
      <c r="HK1086" s="91"/>
      <c r="HL1086" s="91"/>
      <c r="HM1086" s="91"/>
      <c r="HN1086" s="91"/>
      <c r="HO1086" s="91"/>
      <c r="HP1086" s="91"/>
      <c r="HQ1086" s="91"/>
      <c r="HR1086" s="91"/>
      <c r="HS1086" s="91"/>
      <c r="HT1086" s="91"/>
      <c r="HU1086" s="91"/>
      <c r="HV1086" s="91"/>
      <c r="HW1086" s="91"/>
      <c r="HX1086" s="91"/>
      <c r="HY1086" s="91"/>
      <c r="HZ1086" s="91"/>
      <c r="IA1086" s="91"/>
      <c r="IB1086" s="91"/>
      <c r="IC1086" s="91"/>
      <c r="ID1086" s="91"/>
      <c r="IE1086" s="91"/>
    </row>
    <row r="1087" spans="2:239" ht="15" x14ac:dyDescent="0.2">
      <c r="B1087" s="91"/>
      <c r="C1087" s="91"/>
      <c r="D1087" s="91"/>
      <c r="E1087" s="227"/>
      <c r="F1087" s="91"/>
      <c r="G1087" s="91"/>
      <c r="H1087" s="91"/>
      <c r="I1087" s="91"/>
      <c r="J1087" s="91"/>
      <c r="K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c r="FB1087" s="91"/>
      <c r="FC1087" s="91"/>
      <c r="FD1087" s="91"/>
      <c r="FE1087" s="91"/>
      <c r="FF1087" s="91"/>
      <c r="FG1087" s="91"/>
      <c r="FH1087" s="91"/>
      <c r="FI1087" s="91"/>
      <c r="FJ1087" s="91"/>
      <c r="FK1087" s="91"/>
      <c r="FL1087" s="91"/>
      <c r="FM1087" s="91"/>
      <c r="FN1087" s="91"/>
      <c r="FO1087" s="91"/>
      <c r="FP1087" s="91"/>
      <c r="FQ1087" s="91"/>
      <c r="FR1087" s="91"/>
      <c r="FS1087" s="91"/>
      <c r="FT1087" s="91"/>
      <c r="FU1087" s="91"/>
      <c r="FV1087" s="91"/>
      <c r="FW1087" s="91"/>
      <c r="FX1087" s="91"/>
      <c r="FY1087" s="91"/>
      <c r="FZ1087" s="91"/>
      <c r="GA1087" s="91"/>
      <c r="GB1087" s="91"/>
      <c r="GC1087" s="91"/>
      <c r="GD1087" s="91"/>
      <c r="GE1087" s="91"/>
      <c r="GF1087" s="91"/>
      <c r="GG1087" s="91"/>
      <c r="GH1087" s="91"/>
      <c r="GI1087" s="91"/>
      <c r="GJ1087" s="91"/>
      <c r="GK1087" s="91"/>
      <c r="GL1087" s="91"/>
      <c r="GM1087" s="91"/>
      <c r="GN1087" s="91"/>
      <c r="GO1087" s="91"/>
      <c r="GP1087" s="91"/>
      <c r="GQ1087" s="91"/>
      <c r="GR1087" s="91"/>
      <c r="GS1087" s="91"/>
      <c r="GT1087" s="91"/>
      <c r="GU1087" s="91"/>
      <c r="GV1087" s="91"/>
      <c r="GW1087" s="91"/>
      <c r="GX1087" s="91"/>
      <c r="GY1087" s="91"/>
      <c r="GZ1087" s="91"/>
      <c r="HA1087" s="91"/>
      <c r="HB1087" s="91"/>
      <c r="HC1087" s="91"/>
      <c r="HD1087" s="91"/>
      <c r="HE1087" s="91"/>
      <c r="HF1087" s="91"/>
      <c r="HG1087" s="91"/>
      <c r="HH1087" s="91"/>
      <c r="HI1087" s="91"/>
      <c r="HJ1087" s="91"/>
      <c r="HK1087" s="91"/>
      <c r="HL1087" s="91"/>
      <c r="HM1087" s="91"/>
      <c r="HN1087" s="91"/>
      <c r="HO1087" s="91"/>
      <c r="HP1087" s="91"/>
      <c r="HQ1087" s="91"/>
      <c r="HR1087" s="91"/>
      <c r="HS1087" s="91"/>
      <c r="HT1087" s="91"/>
      <c r="HU1087" s="91"/>
      <c r="HV1087" s="91"/>
      <c r="HW1087" s="91"/>
      <c r="HX1087" s="91"/>
      <c r="HY1087" s="91"/>
      <c r="HZ1087" s="91"/>
      <c r="IA1087" s="91"/>
      <c r="IB1087" s="91"/>
      <c r="IC1087" s="91"/>
      <c r="ID1087" s="91"/>
      <c r="IE1087" s="91"/>
    </row>
    <row r="1088" spans="2:239" ht="15" x14ac:dyDescent="0.2">
      <c r="B1088" s="91"/>
      <c r="C1088" s="91"/>
      <c r="D1088" s="91"/>
      <c r="E1088" s="227"/>
      <c r="F1088" s="91"/>
      <c r="G1088" s="91"/>
      <c r="H1088" s="91"/>
      <c r="I1088" s="91"/>
      <c r="J1088" s="91"/>
      <c r="K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c r="GU1088" s="91"/>
      <c r="GV1088" s="91"/>
      <c r="GW1088" s="91"/>
      <c r="GX1088" s="91"/>
      <c r="GY1088" s="91"/>
      <c r="GZ1088" s="91"/>
      <c r="HA1088" s="91"/>
      <c r="HB1088" s="91"/>
      <c r="HC1088" s="91"/>
      <c r="HD1088" s="91"/>
      <c r="HE1088" s="91"/>
      <c r="HF1088" s="91"/>
      <c r="HG1088" s="91"/>
      <c r="HH1088" s="91"/>
      <c r="HI1088" s="91"/>
      <c r="HJ1088" s="91"/>
      <c r="HK1088" s="91"/>
      <c r="HL1088" s="91"/>
      <c r="HM1088" s="91"/>
      <c r="HN1088" s="91"/>
      <c r="HO1088" s="91"/>
      <c r="HP1088" s="91"/>
      <c r="HQ1088" s="91"/>
      <c r="HR1088" s="91"/>
      <c r="HS1088" s="91"/>
      <c r="HT1088" s="91"/>
      <c r="HU1088" s="91"/>
      <c r="HV1088" s="91"/>
      <c r="HW1088" s="91"/>
      <c r="HX1088" s="91"/>
      <c r="HY1088" s="91"/>
      <c r="HZ1088" s="91"/>
      <c r="IA1088" s="91"/>
      <c r="IB1088" s="91"/>
      <c r="IC1088" s="91"/>
      <c r="ID1088" s="91"/>
      <c r="IE1088" s="91"/>
    </row>
    <row r="1089" spans="2:239" ht="15" x14ac:dyDescent="0.2">
      <c r="B1089" s="91"/>
      <c r="C1089" s="91"/>
      <c r="D1089" s="91"/>
      <c r="E1089" s="227"/>
      <c r="F1089" s="91"/>
      <c r="G1089" s="91"/>
      <c r="H1089" s="91"/>
      <c r="I1089" s="91"/>
      <c r="J1089" s="91"/>
      <c r="K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c r="FB1089" s="91"/>
      <c r="FC1089" s="91"/>
      <c r="FD1089" s="91"/>
      <c r="FE1089" s="91"/>
      <c r="FF1089" s="91"/>
      <c r="FG1089" s="91"/>
      <c r="FH1089" s="91"/>
      <c r="FI1089" s="91"/>
      <c r="FJ1089" s="91"/>
      <c r="FK1089" s="91"/>
      <c r="FL1089" s="91"/>
      <c r="FM1089" s="91"/>
      <c r="FN1089" s="91"/>
      <c r="FO1089" s="91"/>
      <c r="FP1089" s="91"/>
      <c r="FQ1089" s="91"/>
      <c r="FR1089" s="91"/>
      <c r="FS1089" s="91"/>
      <c r="FT1089" s="91"/>
      <c r="FU1089" s="91"/>
      <c r="FV1089" s="91"/>
      <c r="FW1089" s="91"/>
      <c r="FX1089" s="91"/>
      <c r="FY1089" s="91"/>
      <c r="FZ1089" s="91"/>
      <c r="GA1089" s="91"/>
      <c r="GB1089" s="91"/>
      <c r="GC1089" s="91"/>
      <c r="GD1089" s="91"/>
      <c r="GE1089" s="91"/>
      <c r="GF1089" s="91"/>
      <c r="GG1089" s="91"/>
      <c r="GH1089" s="91"/>
      <c r="GI1089" s="91"/>
      <c r="GJ1089" s="91"/>
      <c r="GK1089" s="91"/>
      <c r="GL1089" s="91"/>
      <c r="GM1089" s="91"/>
      <c r="GN1089" s="91"/>
      <c r="GO1089" s="91"/>
      <c r="GP1089" s="91"/>
      <c r="GQ1089" s="91"/>
      <c r="GR1089" s="91"/>
      <c r="GS1089" s="91"/>
      <c r="GT1089" s="91"/>
      <c r="GU1089" s="91"/>
      <c r="GV1089" s="91"/>
      <c r="GW1089" s="91"/>
      <c r="GX1089" s="91"/>
      <c r="GY1089" s="91"/>
      <c r="GZ1089" s="91"/>
      <c r="HA1089" s="91"/>
      <c r="HB1089" s="91"/>
      <c r="HC1089" s="91"/>
      <c r="HD1089" s="91"/>
      <c r="HE1089" s="91"/>
      <c r="HF1089" s="91"/>
      <c r="HG1089" s="91"/>
      <c r="HH1089" s="91"/>
      <c r="HI1089" s="91"/>
      <c r="HJ1089" s="91"/>
      <c r="HK1089" s="91"/>
      <c r="HL1089" s="91"/>
      <c r="HM1089" s="91"/>
      <c r="HN1089" s="91"/>
      <c r="HO1089" s="91"/>
      <c r="HP1089" s="91"/>
      <c r="HQ1089" s="91"/>
      <c r="HR1089" s="91"/>
      <c r="HS1089" s="91"/>
      <c r="HT1089" s="91"/>
      <c r="HU1089" s="91"/>
      <c r="HV1089" s="91"/>
      <c r="HW1089" s="91"/>
      <c r="HX1089" s="91"/>
      <c r="HY1089" s="91"/>
      <c r="HZ1089" s="91"/>
      <c r="IA1089" s="91"/>
      <c r="IB1089" s="91"/>
      <c r="IC1089" s="91"/>
      <c r="ID1089" s="91"/>
      <c r="IE1089" s="91"/>
    </row>
    <row r="1090" spans="2:239" ht="15" x14ac:dyDescent="0.2">
      <c r="B1090" s="91"/>
      <c r="C1090" s="91"/>
      <c r="D1090" s="91"/>
      <c r="E1090" s="227"/>
      <c r="F1090" s="91"/>
      <c r="G1090" s="91"/>
      <c r="H1090" s="91"/>
      <c r="I1090" s="91"/>
      <c r="J1090" s="91"/>
      <c r="K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c r="GU1090" s="91"/>
      <c r="GV1090" s="91"/>
      <c r="GW1090" s="91"/>
      <c r="GX1090" s="91"/>
      <c r="GY1090" s="91"/>
      <c r="GZ1090" s="91"/>
      <c r="HA1090" s="91"/>
      <c r="HB1090" s="91"/>
      <c r="HC1090" s="91"/>
      <c r="HD1090" s="91"/>
      <c r="HE1090" s="91"/>
      <c r="HF1090" s="91"/>
      <c r="HG1090" s="91"/>
      <c r="HH1090" s="91"/>
      <c r="HI1090" s="91"/>
      <c r="HJ1090" s="91"/>
      <c r="HK1090" s="91"/>
      <c r="HL1090" s="91"/>
      <c r="HM1090" s="91"/>
      <c r="HN1090" s="91"/>
      <c r="HO1090" s="91"/>
      <c r="HP1090" s="91"/>
      <c r="HQ1090" s="91"/>
      <c r="HR1090" s="91"/>
      <c r="HS1090" s="91"/>
      <c r="HT1090" s="91"/>
      <c r="HU1090" s="91"/>
      <c r="HV1090" s="91"/>
      <c r="HW1090" s="91"/>
      <c r="HX1090" s="91"/>
      <c r="HY1090" s="91"/>
      <c r="HZ1090" s="91"/>
      <c r="IA1090" s="91"/>
      <c r="IB1090" s="91"/>
      <c r="IC1090" s="91"/>
      <c r="ID1090" s="91"/>
      <c r="IE1090" s="91"/>
    </row>
    <row r="1091" spans="2:239" ht="15" x14ac:dyDescent="0.2">
      <c r="B1091" s="91"/>
      <c r="C1091" s="91"/>
      <c r="D1091" s="91"/>
      <c r="E1091" s="227"/>
      <c r="F1091" s="91"/>
      <c r="G1091" s="91"/>
      <c r="H1091" s="91"/>
      <c r="I1091" s="91"/>
      <c r="J1091" s="91"/>
      <c r="K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c r="FB1091" s="91"/>
      <c r="FC1091" s="91"/>
      <c r="FD1091" s="91"/>
      <c r="FE1091" s="91"/>
      <c r="FF1091" s="91"/>
      <c r="FG1091" s="91"/>
      <c r="FH1091" s="91"/>
      <c r="FI1091" s="91"/>
      <c r="FJ1091" s="91"/>
      <c r="FK1091" s="91"/>
      <c r="FL1091" s="91"/>
      <c r="FM1091" s="91"/>
      <c r="FN1091" s="91"/>
      <c r="FO1091" s="91"/>
      <c r="FP1091" s="91"/>
      <c r="FQ1091" s="91"/>
      <c r="FR1091" s="91"/>
      <c r="FS1091" s="91"/>
      <c r="FT1091" s="91"/>
      <c r="FU1091" s="91"/>
      <c r="FV1091" s="91"/>
      <c r="FW1091" s="91"/>
      <c r="FX1091" s="91"/>
      <c r="FY1091" s="91"/>
      <c r="FZ1091" s="91"/>
      <c r="GA1091" s="91"/>
      <c r="GB1091" s="91"/>
      <c r="GC1091" s="91"/>
      <c r="GD1091" s="91"/>
      <c r="GE1091" s="91"/>
      <c r="GF1091" s="91"/>
      <c r="GG1091" s="91"/>
      <c r="GH1091" s="91"/>
      <c r="GI1091" s="91"/>
      <c r="GJ1091" s="91"/>
      <c r="GK1091" s="91"/>
      <c r="GL1091" s="91"/>
      <c r="GM1091" s="91"/>
      <c r="GN1091" s="91"/>
      <c r="GO1091" s="91"/>
      <c r="GP1091" s="91"/>
      <c r="GQ1091" s="91"/>
      <c r="GR1091" s="91"/>
      <c r="GS1091" s="91"/>
      <c r="GT1091" s="91"/>
      <c r="GU1091" s="91"/>
      <c r="GV1091" s="91"/>
      <c r="GW1091" s="91"/>
      <c r="GX1091" s="91"/>
      <c r="GY1091" s="91"/>
      <c r="GZ1091" s="91"/>
      <c r="HA1091" s="91"/>
      <c r="HB1091" s="91"/>
      <c r="HC1091" s="91"/>
      <c r="HD1091" s="91"/>
      <c r="HE1091" s="91"/>
      <c r="HF1091" s="91"/>
      <c r="HG1091" s="91"/>
      <c r="HH1091" s="91"/>
      <c r="HI1091" s="91"/>
      <c r="HJ1091" s="91"/>
      <c r="HK1091" s="91"/>
      <c r="HL1091" s="91"/>
      <c r="HM1091" s="91"/>
      <c r="HN1091" s="91"/>
      <c r="HO1091" s="91"/>
      <c r="HP1091" s="91"/>
      <c r="HQ1091" s="91"/>
      <c r="HR1091" s="91"/>
      <c r="HS1091" s="91"/>
      <c r="HT1091" s="91"/>
      <c r="HU1091" s="91"/>
      <c r="HV1091" s="91"/>
      <c r="HW1091" s="91"/>
      <c r="HX1091" s="91"/>
      <c r="HY1091" s="91"/>
      <c r="HZ1091" s="91"/>
      <c r="IA1091" s="91"/>
      <c r="IB1091" s="91"/>
      <c r="IC1091" s="91"/>
      <c r="ID1091" s="91"/>
      <c r="IE1091" s="91"/>
    </row>
    <row r="1092" spans="2:239" ht="15" x14ac:dyDescent="0.2">
      <c r="B1092" s="91"/>
      <c r="C1092" s="91"/>
      <c r="D1092" s="91"/>
      <c r="E1092" s="227"/>
      <c r="F1092" s="91"/>
      <c r="G1092" s="91"/>
      <c r="H1092" s="91"/>
      <c r="I1092" s="91"/>
      <c r="J1092" s="91"/>
      <c r="K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c r="GU1092" s="91"/>
      <c r="GV1092" s="91"/>
      <c r="GW1092" s="91"/>
      <c r="GX1092" s="91"/>
      <c r="GY1092" s="91"/>
      <c r="GZ1092" s="91"/>
      <c r="HA1092" s="91"/>
      <c r="HB1092" s="91"/>
      <c r="HC1092" s="91"/>
      <c r="HD1092" s="91"/>
      <c r="HE1092" s="91"/>
      <c r="HF1092" s="91"/>
      <c r="HG1092" s="91"/>
      <c r="HH1092" s="91"/>
      <c r="HI1092" s="91"/>
      <c r="HJ1092" s="91"/>
      <c r="HK1092" s="91"/>
      <c r="HL1092" s="91"/>
      <c r="HM1092" s="91"/>
      <c r="HN1092" s="91"/>
      <c r="HO1092" s="91"/>
      <c r="HP1092" s="91"/>
      <c r="HQ1092" s="91"/>
      <c r="HR1092" s="91"/>
      <c r="HS1092" s="91"/>
      <c r="HT1092" s="91"/>
      <c r="HU1092" s="91"/>
      <c r="HV1092" s="91"/>
      <c r="HW1092" s="91"/>
      <c r="HX1092" s="91"/>
      <c r="HY1092" s="91"/>
      <c r="HZ1092" s="91"/>
      <c r="IA1092" s="91"/>
      <c r="IB1092" s="91"/>
      <c r="IC1092" s="91"/>
      <c r="ID1092" s="91"/>
      <c r="IE1092" s="91"/>
    </row>
    <row r="1093" spans="2:239" ht="15" x14ac:dyDescent="0.2">
      <c r="B1093" s="91"/>
      <c r="C1093" s="91"/>
      <c r="D1093" s="91"/>
      <c r="E1093" s="227"/>
      <c r="F1093" s="91"/>
      <c r="G1093" s="91"/>
      <c r="H1093" s="91"/>
      <c r="I1093" s="91"/>
      <c r="J1093" s="91"/>
      <c r="K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c r="FB1093" s="91"/>
      <c r="FC1093" s="91"/>
      <c r="FD1093" s="91"/>
      <c r="FE1093" s="91"/>
      <c r="FF1093" s="91"/>
      <c r="FG1093" s="91"/>
      <c r="FH1093" s="91"/>
      <c r="FI1093" s="91"/>
      <c r="FJ1093" s="91"/>
      <c r="FK1093" s="91"/>
      <c r="FL1093" s="91"/>
      <c r="FM1093" s="91"/>
      <c r="FN1093" s="91"/>
      <c r="FO1093" s="91"/>
      <c r="FP1093" s="91"/>
      <c r="FQ1093" s="91"/>
      <c r="FR1093" s="91"/>
      <c r="FS1093" s="91"/>
      <c r="FT1093" s="91"/>
      <c r="FU1093" s="91"/>
      <c r="FV1093" s="91"/>
      <c r="FW1093" s="91"/>
      <c r="FX1093" s="91"/>
      <c r="FY1093" s="91"/>
      <c r="FZ1093" s="91"/>
      <c r="GA1093" s="91"/>
      <c r="GB1093" s="91"/>
      <c r="GC1093" s="91"/>
      <c r="GD1093" s="91"/>
      <c r="GE1093" s="91"/>
      <c r="GF1093" s="91"/>
      <c r="GG1093" s="91"/>
      <c r="GH1093" s="91"/>
      <c r="GI1093" s="91"/>
      <c r="GJ1093" s="91"/>
      <c r="GK1093" s="91"/>
      <c r="GL1093" s="91"/>
      <c r="GM1093" s="91"/>
      <c r="GN1093" s="91"/>
      <c r="GO1093" s="91"/>
      <c r="GP1093" s="91"/>
      <c r="GQ1093" s="91"/>
      <c r="GR1093" s="91"/>
      <c r="GS1093" s="91"/>
      <c r="GT1093" s="91"/>
      <c r="GU1093" s="91"/>
      <c r="GV1093" s="91"/>
      <c r="GW1093" s="91"/>
      <c r="GX1093" s="91"/>
      <c r="GY1093" s="91"/>
      <c r="GZ1093" s="91"/>
      <c r="HA1093" s="91"/>
      <c r="HB1093" s="91"/>
      <c r="HC1093" s="91"/>
      <c r="HD1093" s="91"/>
      <c r="HE1093" s="91"/>
      <c r="HF1093" s="91"/>
      <c r="HG1093" s="91"/>
      <c r="HH1093" s="91"/>
      <c r="HI1093" s="91"/>
      <c r="HJ1093" s="91"/>
      <c r="HK1093" s="91"/>
      <c r="HL1093" s="91"/>
      <c r="HM1093" s="91"/>
      <c r="HN1093" s="91"/>
      <c r="HO1093" s="91"/>
      <c r="HP1093" s="91"/>
      <c r="HQ1093" s="91"/>
      <c r="HR1093" s="91"/>
      <c r="HS1093" s="91"/>
      <c r="HT1093" s="91"/>
      <c r="HU1093" s="91"/>
      <c r="HV1093" s="91"/>
      <c r="HW1093" s="91"/>
      <c r="HX1093" s="91"/>
      <c r="HY1093" s="91"/>
      <c r="HZ1093" s="91"/>
      <c r="IA1093" s="91"/>
      <c r="IB1093" s="91"/>
      <c r="IC1093" s="91"/>
      <c r="ID1093" s="91"/>
      <c r="IE1093" s="91"/>
    </row>
    <row r="1094" spans="2:239" ht="15" x14ac:dyDescent="0.2">
      <c r="B1094" s="91"/>
      <c r="C1094" s="91"/>
      <c r="D1094" s="91"/>
      <c r="E1094" s="227"/>
      <c r="F1094" s="91"/>
      <c r="G1094" s="91"/>
      <c r="H1094" s="91"/>
      <c r="I1094" s="91"/>
      <c r="J1094" s="91"/>
      <c r="K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c r="FB1094" s="91"/>
      <c r="FC1094" s="91"/>
      <c r="FD1094" s="91"/>
      <c r="FE1094" s="91"/>
      <c r="FF1094" s="91"/>
      <c r="FG1094" s="91"/>
      <c r="FH1094" s="91"/>
      <c r="FI1094" s="91"/>
      <c r="FJ1094" s="91"/>
      <c r="FK1094" s="91"/>
      <c r="FL1094" s="91"/>
      <c r="FM1094" s="91"/>
      <c r="FN1094" s="91"/>
      <c r="FO1094" s="91"/>
      <c r="FP1094" s="91"/>
      <c r="FQ1094" s="91"/>
      <c r="FR1094" s="91"/>
      <c r="FS1094" s="91"/>
      <c r="FT1094" s="91"/>
      <c r="FU1094" s="91"/>
      <c r="FV1094" s="91"/>
      <c r="FW1094" s="91"/>
      <c r="FX1094" s="91"/>
      <c r="FY1094" s="91"/>
      <c r="FZ1094" s="91"/>
      <c r="GA1094" s="91"/>
      <c r="GB1094" s="91"/>
      <c r="GC1094" s="91"/>
      <c r="GD1094" s="91"/>
      <c r="GE1094" s="91"/>
      <c r="GF1094" s="91"/>
      <c r="GG1094" s="91"/>
      <c r="GH1094" s="91"/>
      <c r="GI1094" s="91"/>
      <c r="GJ1094" s="91"/>
      <c r="GK1094" s="91"/>
      <c r="GL1094" s="91"/>
      <c r="GM1094" s="91"/>
      <c r="GN1094" s="91"/>
      <c r="GO1094" s="91"/>
      <c r="GP1094" s="91"/>
      <c r="GQ1094" s="91"/>
      <c r="GR1094" s="91"/>
      <c r="GS1094" s="91"/>
      <c r="GT1094" s="91"/>
      <c r="GU1094" s="91"/>
      <c r="GV1094" s="91"/>
      <c r="GW1094" s="91"/>
      <c r="GX1094" s="91"/>
      <c r="GY1094" s="91"/>
      <c r="GZ1094" s="91"/>
      <c r="HA1094" s="91"/>
      <c r="HB1094" s="91"/>
      <c r="HC1094" s="91"/>
      <c r="HD1094" s="91"/>
      <c r="HE1094" s="91"/>
      <c r="HF1094" s="91"/>
      <c r="HG1094" s="91"/>
      <c r="HH1094" s="91"/>
      <c r="HI1094" s="91"/>
      <c r="HJ1094" s="91"/>
      <c r="HK1094" s="91"/>
      <c r="HL1094" s="91"/>
      <c r="HM1094" s="91"/>
      <c r="HN1094" s="91"/>
      <c r="HO1094" s="91"/>
      <c r="HP1094" s="91"/>
      <c r="HQ1094" s="91"/>
      <c r="HR1094" s="91"/>
      <c r="HS1094" s="91"/>
      <c r="HT1094" s="91"/>
      <c r="HU1094" s="91"/>
      <c r="HV1094" s="91"/>
      <c r="HW1094" s="91"/>
      <c r="HX1094" s="91"/>
      <c r="HY1094" s="91"/>
      <c r="HZ1094" s="91"/>
      <c r="IA1094" s="91"/>
      <c r="IB1094" s="91"/>
      <c r="IC1094" s="91"/>
      <c r="ID1094" s="91"/>
      <c r="IE1094" s="91"/>
    </row>
    <row r="1095" spans="2:239" ht="15" x14ac:dyDescent="0.2">
      <c r="B1095" s="91"/>
      <c r="C1095" s="91"/>
      <c r="D1095" s="91"/>
      <c r="E1095" s="227"/>
      <c r="F1095" s="91"/>
      <c r="G1095" s="91"/>
      <c r="H1095" s="91"/>
      <c r="I1095" s="91"/>
      <c r="J1095" s="91"/>
      <c r="K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c r="FB1095" s="91"/>
      <c r="FC1095" s="91"/>
      <c r="FD1095" s="91"/>
      <c r="FE1095" s="91"/>
      <c r="FF1095" s="91"/>
      <c r="FG1095" s="91"/>
      <c r="FH1095" s="91"/>
      <c r="FI1095" s="91"/>
      <c r="FJ1095" s="91"/>
      <c r="FK1095" s="91"/>
      <c r="FL1095" s="91"/>
      <c r="FM1095" s="91"/>
      <c r="FN1095" s="91"/>
      <c r="FO1095" s="91"/>
      <c r="FP1095" s="91"/>
      <c r="FQ1095" s="91"/>
      <c r="FR1095" s="91"/>
      <c r="FS1095" s="91"/>
      <c r="FT1095" s="91"/>
      <c r="FU1095" s="91"/>
      <c r="FV1095" s="91"/>
      <c r="FW1095" s="91"/>
      <c r="FX1095" s="91"/>
      <c r="FY1095" s="91"/>
      <c r="FZ1095" s="91"/>
      <c r="GA1095" s="91"/>
      <c r="GB1095" s="91"/>
      <c r="GC1095" s="91"/>
      <c r="GD1095" s="91"/>
      <c r="GE1095" s="91"/>
      <c r="GF1095" s="91"/>
      <c r="GG1095" s="91"/>
      <c r="GH1095" s="91"/>
      <c r="GI1095" s="91"/>
      <c r="GJ1095" s="91"/>
      <c r="GK1095" s="91"/>
      <c r="GL1095" s="91"/>
      <c r="GM1095" s="91"/>
      <c r="GN1095" s="91"/>
      <c r="GO1095" s="91"/>
      <c r="GP1095" s="91"/>
      <c r="GQ1095" s="91"/>
      <c r="GR1095" s="91"/>
      <c r="GS1095" s="91"/>
      <c r="GT1095" s="91"/>
      <c r="GU1095" s="91"/>
      <c r="GV1095" s="91"/>
      <c r="GW1095" s="91"/>
      <c r="GX1095" s="91"/>
      <c r="GY1095" s="91"/>
      <c r="GZ1095" s="91"/>
      <c r="HA1095" s="91"/>
      <c r="HB1095" s="91"/>
      <c r="HC1095" s="91"/>
      <c r="HD1095" s="91"/>
      <c r="HE1095" s="91"/>
      <c r="HF1095" s="91"/>
      <c r="HG1095" s="91"/>
      <c r="HH1095" s="91"/>
      <c r="HI1095" s="91"/>
      <c r="HJ1095" s="91"/>
      <c r="HK1095" s="91"/>
      <c r="HL1095" s="91"/>
      <c r="HM1095" s="91"/>
      <c r="HN1095" s="91"/>
      <c r="HO1095" s="91"/>
      <c r="HP1095" s="91"/>
      <c r="HQ1095" s="91"/>
      <c r="HR1095" s="91"/>
      <c r="HS1095" s="91"/>
      <c r="HT1095" s="91"/>
      <c r="HU1095" s="91"/>
      <c r="HV1095" s="91"/>
      <c r="HW1095" s="91"/>
      <c r="HX1095" s="91"/>
      <c r="HY1095" s="91"/>
      <c r="HZ1095" s="91"/>
      <c r="IA1095" s="91"/>
      <c r="IB1095" s="91"/>
      <c r="IC1095" s="91"/>
      <c r="ID1095" s="91"/>
      <c r="IE1095" s="91"/>
    </row>
    <row r="1096" spans="2:239" ht="15" x14ac:dyDescent="0.2">
      <c r="B1096" s="91"/>
      <c r="C1096" s="91"/>
      <c r="D1096" s="91"/>
      <c r="E1096" s="227"/>
      <c r="F1096" s="91"/>
      <c r="G1096" s="91"/>
      <c r="H1096" s="91"/>
      <c r="I1096" s="91"/>
      <c r="J1096" s="91"/>
      <c r="K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c r="FH1096" s="91"/>
      <c r="FI1096" s="91"/>
      <c r="FJ1096" s="91"/>
      <c r="FK1096" s="91"/>
      <c r="FL1096" s="91"/>
      <c r="FM1096" s="91"/>
      <c r="FN1096" s="91"/>
      <c r="FO1096" s="91"/>
      <c r="FP1096" s="91"/>
      <c r="FQ1096" s="91"/>
      <c r="FR1096" s="91"/>
      <c r="FS1096" s="91"/>
      <c r="FT1096" s="91"/>
      <c r="FU1096" s="91"/>
      <c r="FV1096" s="91"/>
      <c r="FW1096" s="91"/>
      <c r="FX1096" s="91"/>
      <c r="FY1096" s="91"/>
      <c r="FZ1096" s="91"/>
      <c r="GA1096" s="91"/>
      <c r="GB1096" s="91"/>
      <c r="GC1096" s="91"/>
      <c r="GD1096" s="91"/>
      <c r="GE1096" s="91"/>
      <c r="GF1096" s="91"/>
      <c r="GG1096" s="91"/>
      <c r="GH1096" s="91"/>
      <c r="GI1096" s="91"/>
      <c r="GJ1096" s="91"/>
      <c r="GK1096" s="91"/>
      <c r="GL1096" s="91"/>
      <c r="GM1096" s="91"/>
      <c r="GN1096" s="91"/>
      <c r="GO1096" s="91"/>
      <c r="GP1096" s="91"/>
      <c r="GQ1096" s="91"/>
      <c r="GR1096" s="91"/>
      <c r="GS1096" s="91"/>
      <c r="GT1096" s="91"/>
      <c r="GU1096" s="91"/>
      <c r="GV1096" s="91"/>
      <c r="GW1096" s="91"/>
      <c r="GX1096" s="91"/>
      <c r="GY1096" s="91"/>
      <c r="GZ1096" s="91"/>
      <c r="HA1096" s="91"/>
      <c r="HB1096" s="91"/>
      <c r="HC1096" s="91"/>
      <c r="HD1096" s="91"/>
      <c r="HE1096" s="91"/>
      <c r="HF1096" s="91"/>
      <c r="HG1096" s="91"/>
      <c r="HH1096" s="91"/>
      <c r="HI1096" s="91"/>
      <c r="HJ1096" s="91"/>
      <c r="HK1096" s="91"/>
      <c r="HL1096" s="91"/>
      <c r="HM1096" s="91"/>
      <c r="HN1096" s="91"/>
      <c r="HO1096" s="91"/>
      <c r="HP1096" s="91"/>
      <c r="HQ1096" s="91"/>
      <c r="HR1096" s="91"/>
      <c r="HS1096" s="91"/>
      <c r="HT1096" s="91"/>
      <c r="HU1096" s="91"/>
      <c r="HV1096" s="91"/>
      <c r="HW1096" s="91"/>
      <c r="HX1096" s="91"/>
      <c r="HY1096" s="91"/>
      <c r="HZ1096" s="91"/>
      <c r="IA1096" s="91"/>
      <c r="IB1096" s="91"/>
      <c r="IC1096" s="91"/>
      <c r="ID1096" s="91"/>
      <c r="IE1096" s="91"/>
    </row>
    <row r="1097" spans="2:239" ht="15" x14ac:dyDescent="0.2">
      <c r="B1097" s="91"/>
      <c r="C1097" s="91"/>
      <c r="D1097" s="91"/>
      <c r="E1097" s="227"/>
      <c r="F1097" s="91"/>
      <c r="G1097" s="91"/>
      <c r="H1097" s="91"/>
      <c r="I1097" s="91"/>
      <c r="J1097" s="91"/>
      <c r="K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c r="FB1097" s="91"/>
      <c r="FC1097" s="91"/>
      <c r="FD1097" s="91"/>
      <c r="FE1097" s="91"/>
      <c r="FF1097" s="91"/>
      <c r="FG1097" s="91"/>
      <c r="FH1097" s="91"/>
      <c r="FI1097" s="91"/>
      <c r="FJ1097" s="91"/>
      <c r="FK1097" s="91"/>
      <c r="FL1097" s="91"/>
      <c r="FM1097" s="91"/>
      <c r="FN1097" s="91"/>
      <c r="FO1097" s="91"/>
      <c r="FP1097" s="91"/>
      <c r="FQ1097" s="91"/>
      <c r="FR1097" s="91"/>
      <c r="FS1097" s="91"/>
      <c r="FT1097" s="91"/>
      <c r="FU1097" s="91"/>
      <c r="FV1097" s="91"/>
      <c r="FW1097" s="91"/>
      <c r="FX1097" s="91"/>
      <c r="FY1097" s="91"/>
      <c r="FZ1097" s="91"/>
      <c r="GA1097" s="91"/>
      <c r="GB1097" s="91"/>
      <c r="GC1097" s="91"/>
      <c r="GD1097" s="91"/>
      <c r="GE1097" s="91"/>
      <c r="GF1097" s="91"/>
      <c r="GG1097" s="91"/>
      <c r="GH1097" s="91"/>
      <c r="GI1097" s="91"/>
      <c r="GJ1097" s="91"/>
      <c r="GK1097" s="91"/>
      <c r="GL1097" s="91"/>
      <c r="GM1097" s="91"/>
      <c r="GN1097" s="91"/>
      <c r="GO1097" s="91"/>
      <c r="GP1097" s="91"/>
      <c r="GQ1097" s="91"/>
      <c r="GR1097" s="91"/>
      <c r="GS1097" s="91"/>
      <c r="GT1097" s="91"/>
      <c r="GU1097" s="91"/>
      <c r="GV1097" s="91"/>
      <c r="GW1097" s="91"/>
      <c r="GX1097" s="91"/>
      <c r="GY1097" s="91"/>
      <c r="GZ1097" s="91"/>
      <c r="HA1097" s="91"/>
      <c r="HB1097" s="91"/>
      <c r="HC1097" s="91"/>
      <c r="HD1097" s="91"/>
      <c r="HE1097" s="91"/>
      <c r="HF1097" s="91"/>
      <c r="HG1097" s="91"/>
      <c r="HH1097" s="91"/>
      <c r="HI1097" s="91"/>
      <c r="HJ1097" s="91"/>
      <c r="HK1097" s="91"/>
      <c r="HL1097" s="91"/>
      <c r="HM1097" s="91"/>
      <c r="HN1097" s="91"/>
      <c r="HO1097" s="91"/>
      <c r="HP1097" s="91"/>
      <c r="HQ1097" s="91"/>
      <c r="HR1097" s="91"/>
      <c r="HS1097" s="91"/>
      <c r="HT1097" s="91"/>
      <c r="HU1097" s="91"/>
      <c r="HV1097" s="91"/>
      <c r="HW1097" s="91"/>
      <c r="HX1097" s="91"/>
      <c r="HY1097" s="91"/>
      <c r="HZ1097" s="91"/>
      <c r="IA1097" s="91"/>
      <c r="IB1097" s="91"/>
      <c r="IC1097" s="91"/>
      <c r="ID1097" s="91"/>
      <c r="IE1097" s="91"/>
    </row>
    <row r="1098" spans="2:239" ht="15" x14ac:dyDescent="0.2">
      <c r="B1098" s="91"/>
      <c r="C1098" s="91"/>
      <c r="D1098" s="91"/>
      <c r="E1098" s="227"/>
      <c r="F1098" s="91"/>
      <c r="G1098" s="91"/>
      <c r="H1098" s="91"/>
      <c r="I1098" s="91"/>
      <c r="J1098" s="91"/>
      <c r="K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c r="FB1098" s="91"/>
      <c r="FC1098" s="91"/>
      <c r="FD1098" s="91"/>
      <c r="FE1098" s="91"/>
      <c r="FF1098" s="91"/>
      <c r="FG1098" s="91"/>
      <c r="FH1098" s="91"/>
      <c r="FI1098" s="91"/>
      <c r="FJ1098" s="91"/>
      <c r="FK1098" s="91"/>
      <c r="FL1098" s="91"/>
      <c r="FM1098" s="91"/>
      <c r="FN1098" s="91"/>
      <c r="FO1098" s="91"/>
      <c r="FP1098" s="91"/>
      <c r="FQ1098" s="91"/>
      <c r="FR1098" s="91"/>
      <c r="FS1098" s="91"/>
      <c r="FT1098" s="91"/>
      <c r="FU1098" s="91"/>
      <c r="FV1098" s="91"/>
      <c r="FW1098" s="91"/>
      <c r="FX1098" s="91"/>
      <c r="FY1098" s="91"/>
      <c r="FZ1098" s="91"/>
      <c r="GA1098" s="91"/>
      <c r="GB1098" s="91"/>
      <c r="GC1098" s="91"/>
      <c r="GD1098" s="91"/>
      <c r="GE1098" s="91"/>
      <c r="GF1098" s="91"/>
      <c r="GG1098" s="91"/>
      <c r="GH1098" s="91"/>
      <c r="GI1098" s="91"/>
      <c r="GJ1098" s="91"/>
      <c r="GK1098" s="91"/>
      <c r="GL1098" s="91"/>
      <c r="GM1098" s="91"/>
      <c r="GN1098" s="91"/>
      <c r="GO1098" s="91"/>
      <c r="GP1098" s="91"/>
      <c r="GQ1098" s="91"/>
      <c r="GR1098" s="91"/>
      <c r="GS1098" s="91"/>
      <c r="GT1098" s="91"/>
      <c r="GU1098" s="91"/>
      <c r="GV1098" s="91"/>
      <c r="GW1098" s="91"/>
      <c r="GX1098" s="91"/>
      <c r="GY1098" s="91"/>
      <c r="GZ1098" s="91"/>
      <c r="HA1098" s="91"/>
      <c r="HB1098" s="91"/>
      <c r="HC1098" s="91"/>
      <c r="HD1098" s="91"/>
      <c r="HE1098" s="91"/>
      <c r="HF1098" s="91"/>
      <c r="HG1098" s="91"/>
      <c r="HH1098" s="91"/>
      <c r="HI1098" s="91"/>
      <c r="HJ1098" s="91"/>
      <c r="HK1098" s="91"/>
      <c r="HL1098" s="91"/>
      <c r="HM1098" s="91"/>
      <c r="HN1098" s="91"/>
      <c r="HO1098" s="91"/>
      <c r="HP1098" s="91"/>
      <c r="HQ1098" s="91"/>
      <c r="HR1098" s="91"/>
      <c r="HS1098" s="91"/>
      <c r="HT1098" s="91"/>
      <c r="HU1098" s="91"/>
      <c r="HV1098" s="91"/>
      <c r="HW1098" s="91"/>
      <c r="HX1098" s="91"/>
      <c r="HY1098" s="91"/>
      <c r="HZ1098" s="91"/>
      <c r="IA1098" s="91"/>
      <c r="IB1098" s="91"/>
      <c r="IC1098" s="91"/>
      <c r="ID1098" s="91"/>
      <c r="IE1098" s="91"/>
    </row>
    <row r="1099" spans="2:239" ht="15" x14ac:dyDescent="0.2">
      <c r="B1099" s="91"/>
      <c r="C1099" s="91"/>
      <c r="D1099" s="91"/>
      <c r="E1099" s="227"/>
      <c r="F1099" s="91"/>
      <c r="G1099" s="91"/>
      <c r="H1099" s="91"/>
      <c r="I1099" s="91"/>
      <c r="J1099" s="91"/>
      <c r="K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c r="FB1099" s="91"/>
      <c r="FC1099" s="91"/>
      <c r="FD1099" s="91"/>
      <c r="FE1099" s="91"/>
      <c r="FF1099" s="91"/>
      <c r="FG1099" s="91"/>
      <c r="FH1099" s="91"/>
      <c r="FI1099" s="91"/>
      <c r="FJ1099" s="91"/>
      <c r="FK1099" s="91"/>
      <c r="FL1099" s="91"/>
      <c r="FM1099" s="91"/>
      <c r="FN1099" s="91"/>
      <c r="FO1099" s="91"/>
      <c r="FP1099" s="91"/>
      <c r="FQ1099" s="91"/>
      <c r="FR1099" s="91"/>
      <c r="FS1099" s="91"/>
      <c r="FT1099" s="91"/>
      <c r="FU1099" s="91"/>
      <c r="FV1099" s="91"/>
      <c r="FW1099" s="91"/>
      <c r="FX1099" s="91"/>
      <c r="FY1099" s="91"/>
      <c r="FZ1099" s="91"/>
      <c r="GA1099" s="91"/>
      <c r="GB1099" s="91"/>
      <c r="GC1099" s="91"/>
      <c r="GD1099" s="91"/>
      <c r="GE1099" s="91"/>
      <c r="GF1099" s="91"/>
      <c r="GG1099" s="91"/>
      <c r="GH1099" s="91"/>
      <c r="GI1099" s="91"/>
      <c r="GJ1099" s="91"/>
      <c r="GK1099" s="91"/>
      <c r="GL1099" s="91"/>
      <c r="GM1099" s="91"/>
      <c r="GN1099" s="91"/>
      <c r="GO1099" s="91"/>
      <c r="GP1099" s="91"/>
      <c r="GQ1099" s="91"/>
      <c r="GR1099" s="91"/>
      <c r="GS1099" s="91"/>
      <c r="GT1099" s="91"/>
      <c r="GU1099" s="91"/>
      <c r="GV1099" s="91"/>
      <c r="GW1099" s="91"/>
      <c r="GX1099" s="91"/>
      <c r="GY1099" s="91"/>
      <c r="GZ1099" s="91"/>
      <c r="HA1099" s="91"/>
      <c r="HB1099" s="91"/>
      <c r="HC1099" s="91"/>
      <c r="HD1099" s="91"/>
      <c r="HE1099" s="91"/>
      <c r="HF1099" s="91"/>
      <c r="HG1099" s="91"/>
      <c r="HH1099" s="91"/>
      <c r="HI1099" s="91"/>
      <c r="HJ1099" s="91"/>
      <c r="HK1099" s="91"/>
      <c r="HL1099" s="91"/>
      <c r="HM1099" s="91"/>
      <c r="HN1099" s="91"/>
      <c r="HO1099" s="91"/>
      <c r="HP1099" s="91"/>
      <c r="HQ1099" s="91"/>
      <c r="HR1099" s="91"/>
      <c r="HS1099" s="91"/>
      <c r="HT1099" s="91"/>
      <c r="HU1099" s="91"/>
      <c r="HV1099" s="91"/>
      <c r="HW1099" s="91"/>
      <c r="HX1099" s="91"/>
      <c r="HY1099" s="91"/>
      <c r="HZ1099" s="91"/>
      <c r="IA1099" s="91"/>
      <c r="IB1099" s="91"/>
      <c r="IC1099" s="91"/>
      <c r="ID1099" s="91"/>
      <c r="IE1099" s="91"/>
    </row>
    <row r="1100" spans="2:239" ht="15" x14ac:dyDescent="0.2">
      <c r="B1100" s="91"/>
      <c r="C1100" s="91"/>
      <c r="D1100" s="91"/>
      <c r="E1100" s="227"/>
      <c r="F1100" s="91"/>
      <c r="G1100" s="91"/>
      <c r="H1100" s="91"/>
      <c r="I1100" s="91"/>
      <c r="J1100" s="91"/>
      <c r="K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c r="FB1100" s="91"/>
      <c r="FC1100" s="91"/>
      <c r="FD1100" s="91"/>
      <c r="FE1100" s="91"/>
      <c r="FF1100" s="91"/>
      <c r="FG1100" s="91"/>
      <c r="FH1100" s="91"/>
      <c r="FI1100" s="91"/>
      <c r="FJ1100" s="91"/>
      <c r="FK1100" s="91"/>
      <c r="FL1100" s="91"/>
      <c r="FM1100" s="91"/>
      <c r="FN1100" s="91"/>
      <c r="FO1100" s="91"/>
      <c r="FP1100" s="91"/>
      <c r="FQ1100" s="91"/>
      <c r="FR1100" s="91"/>
      <c r="FS1100" s="91"/>
      <c r="FT1100" s="91"/>
      <c r="FU1100" s="91"/>
      <c r="FV1100" s="91"/>
      <c r="FW1100" s="91"/>
      <c r="FX1100" s="91"/>
      <c r="FY1100" s="91"/>
      <c r="FZ1100" s="91"/>
      <c r="GA1100" s="91"/>
      <c r="GB1100" s="91"/>
      <c r="GC1100" s="91"/>
      <c r="GD1100" s="91"/>
      <c r="GE1100" s="91"/>
      <c r="GF1100" s="91"/>
      <c r="GG1100" s="91"/>
      <c r="GH1100" s="91"/>
      <c r="GI1100" s="91"/>
      <c r="GJ1100" s="91"/>
      <c r="GK1100" s="91"/>
      <c r="GL1100" s="91"/>
      <c r="GM1100" s="91"/>
      <c r="GN1100" s="91"/>
      <c r="GO1100" s="91"/>
      <c r="GP1100" s="91"/>
      <c r="GQ1100" s="91"/>
      <c r="GR1100" s="91"/>
      <c r="GS1100" s="91"/>
      <c r="GT1100" s="91"/>
      <c r="GU1100" s="91"/>
      <c r="GV1100" s="91"/>
      <c r="GW1100" s="91"/>
      <c r="GX1100" s="91"/>
      <c r="GY1100" s="91"/>
      <c r="GZ1100" s="91"/>
      <c r="HA1100" s="91"/>
      <c r="HB1100" s="91"/>
      <c r="HC1100" s="91"/>
      <c r="HD1100" s="91"/>
      <c r="HE1100" s="91"/>
      <c r="HF1100" s="91"/>
      <c r="HG1100" s="91"/>
      <c r="HH1100" s="91"/>
      <c r="HI1100" s="91"/>
      <c r="HJ1100" s="91"/>
      <c r="HK1100" s="91"/>
      <c r="HL1100" s="91"/>
      <c r="HM1100" s="91"/>
      <c r="HN1100" s="91"/>
      <c r="HO1100" s="91"/>
      <c r="HP1100" s="91"/>
      <c r="HQ1100" s="91"/>
      <c r="HR1100" s="91"/>
      <c r="HS1100" s="91"/>
      <c r="HT1100" s="91"/>
      <c r="HU1100" s="91"/>
      <c r="HV1100" s="91"/>
      <c r="HW1100" s="91"/>
      <c r="HX1100" s="91"/>
      <c r="HY1100" s="91"/>
      <c r="HZ1100" s="91"/>
      <c r="IA1100" s="91"/>
      <c r="IB1100" s="91"/>
      <c r="IC1100" s="91"/>
      <c r="ID1100" s="91"/>
      <c r="IE1100" s="91"/>
    </row>
    <row r="1101" spans="2:239" ht="15" x14ac:dyDescent="0.2">
      <c r="B1101" s="91"/>
      <c r="C1101" s="91"/>
      <c r="D1101" s="91"/>
      <c r="E1101" s="227"/>
      <c r="F1101" s="91"/>
      <c r="G1101" s="91"/>
      <c r="H1101" s="91"/>
      <c r="I1101" s="91"/>
      <c r="J1101" s="91"/>
      <c r="K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c r="FB1101" s="91"/>
      <c r="FC1101" s="91"/>
      <c r="FD1101" s="91"/>
      <c r="FE1101" s="91"/>
      <c r="FF1101" s="91"/>
      <c r="FG1101" s="91"/>
      <c r="FH1101" s="91"/>
      <c r="FI1101" s="91"/>
      <c r="FJ1101" s="91"/>
      <c r="FK1101" s="91"/>
      <c r="FL1101" s="91"/>
      <c r="FM1101" s="91"/>
      <c r="FN1101" s="91"/>
      <c r="FO1101" s="91"/>
      <c r="FP1101" s="91"/>
      <c r="FQ1101" s="91"/>
      <c r="FR1101" s="91"/>
      <c r="FS1101" s="91"/>
      <c r="FT1101" s="91"/>
      <c r="FU1101" s="91"/>
      <c r="FV1101" s="91"/>
      <c r="FW1101" s="91"/>
      <c r="FX1101" s="91"/>
      <c r="FY1101" s="91"/>
      <c r="FZ1101" s="91"/>
      <c r="GA1101" s="91"/>
      <c r="GB1101" s="91"/>
      <c r="GC1101" s="91"/>
      <c r="GD1101" s="91"/>
      <c r="GE1101" s="91"/>
      <c r="GF1101" s="91"/>
      <c r="GG1101" s="91"/>
      <c r="GH1101" s="91"/>
      <c r="GI1101" s="91"/>
      <c r="GJ1101" s="91"/>
      <c r="GK1101" s="91"/>
      <c r="GL1101" s="91"/>
      <c r="GM1101" s="91"/>
      <c r="GN1101" s="91"/>
      <c r="GO1101" s="91"/>
      <c r="GP1101" s="91"/>
      <c r="GQ1101" s="91"/>
      <c r="GR1101" s="91"/>
      <c r="GS1101" s="91"/>
      <c r="GT1101" s="91"/>
      <c r="GU1101" s="91"/>
      <c r="GV1101" s="91"/>
      <c r="GW1101" s="91"/>
      <c r="GX1101" s="91"/>
      <c r="GY1101" s="91"/>
      <c r="GZ1101" s="91"/>
      <c r="HA1101" s="91"/>
      <c r="HB1101" s="91"/>
      <c r="HC1101" s="91"/>
      <c r="HD1101" s="91"/>
      <c r="HE1101" s="91"/>
      <c r="HF1101" s="91"/>
      <c r="HG1101" s="91"/>
      <c r="HH1101" s="91"/>
      <c r="HI1101" s="91"/>
      <c r="HJ1101" s="91"/>
      <c r="HK1101" s="91"/>
      <c r="HL1101" s="91"/>
      <c r="HM1101" s="91"/>
      <c r="HN1101" s="91"/>
      <c r="HO1101" s="91"/>
      <c r="HP1101" s="91"/>
      <c r="HQ1101" s="91"/>
      <c r="HR1101" s="91"/>
      <c r="HS1101" s="91"/>
      <c r="HT1101" s="91"/>
      <c r="HU1101" s="91"/>
      <c r="HV1101" s="91"/>
      <c r="HW1101" s="91"/>
      <c r="HX1101" s="91"/>
      <c r="HY1101" s="91"/>
      <c r="HZ1101" s="91"/>
      <c r="IA1101" s="91"/>
      <c r="IB1101" s="91"/>
      <c r="IC1101" s="91"/>
      <c r="ID1101" s="91"/>
      <c r="IE1101" s="91"/>
    </row>
    <row r="1102" spans="2:239" ht="15" x14ac:dyDescent="0.2">
      <c r="B1102" s="91"/>
      <c r="C1102" s="91"/>
      <c r="D1102" s="91"/>
      <c r="E1102" s="227"/>
      <c r="F1102" s="91"/>
      <c r="G1102" s="91"/>
      <c r="H1102" s="91"/>
      <c r="I1102" s="91"/>
      <c r="J1102" s="91"/>
      <c r="K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c r="FG1102" s="91"/>
      <c r="FH1102" s="91"/>
      <c r="FI1102" s="91"/>
      <c r="FJ1102" s="91"/>
      <c r="FK1102" s="91"/>
      <c r="FL1102" s="91"/>
      <c r="FM1102" s="91"/>
      <c r="FN1102" s="91"/>
      <c r="FO1102" s="91"/>
      <c r="FP1102" s="91"/>
      <c r="FQ1102" s="91"/>
      <c r="FR1102" s="91"/>
      <c r="FS1102" s="91"/>
      <c r="FT1102" s="91"/>
      <c r="FU1102" s="91"/>
      <c r="FV1102" s="91"/>
      <c r="FW1102" s="91"/>
      <c r="FX1102" s="91"/>
      <c r="FY1102" s="91"/>
      <c r="FZ1102" s="91"/>
      <c r="GA1102" s="91"/>
      <c r="GB1102" s="91"/>
      <c r="GC1102" s="91"/>
      <c r="GD1102" s="91"/>
      <c r="GE1102" s="91"/>
      <c r="GF1102" s="91"/>
      <c r="GG1102" s="91"/>
      <c r="GH1102" s="91"/>
      <c r="GI1102" s="91"/>
      <c r="GJ1102" s="91"/>
      <c r="GK1102" s="91"/>
      <c r="GL1102" s="91"/>
      <c r="GM1102" s="91"/>
      <c r="GN1102" s="91"/>
      <c r="GO1102" s="91"/>
      <c r="GP1102" s="91"/>
      <c r="GQ1102" s="91"/>
      <c r="GR1102" s="91"/>
      <c r="GS1102" s="91"/>
      <c r="GT1102" s="91"/>
      <c r="GU1102" s="91"/>
      <c r="GV1102" s="91"/>
      <c r="GW1102" s="91"/>
      <c r="GX1102" s="91"/>
      <c r="GY1102" s="91"/>
      <c r="GZ1102" s="91"/>
      <c r="HA1102" s="91"/>
      <c r="HB1102" s="91"/>
      <c r="HC1102" s="91"/>
      <c r="HD1102" s="91"/>
      <c r="HE1102" s="91"/>
      <c r="HF1102" s="91"/>
      <c r="HG1102" s="91"/>
      <c r="HH1102" s="91"/>
      <c r="HI1102" s="91"/>
      <c r="HJ1102" s="91"/>
      <c r="HK1102" s="91"/>
      <c r="HL1102" s="91"/>
      <c r="HM1102" s="91"/>
      <c r="HN1102" s="91"/>
      <c r="HO1102" s="91"/>
      <c r="HP1102" s="91"/>
      <c r="HQ1102" s="91"/>
      <c r="HR1102" s="91"/>
      <c r="HS1102" s="91"/>
      <c r="HT1102" s="91"/>
      <c r="HU1102" s="91"/>
      <c r="HV1102" s="91"/>
      <c r="HW1102" s="91"/>
      <c r="HX1102" s="91"/>
      <c r="HY1102" s="91"/>
      <c r="HZ1102" s="91"/>
      <c r="IA1102" s="91"/>
      <c r="IB1102" s="91"/>
      <c r="IC1102" s="91"/>
      <c r="ID1102" s="91"/>
      <c r="IE1102" s="91"/>
    </row>
    <row r="1103" spans="2:239" ht="15" x14ac:dyDescent="0.2">
      <c r="B1103" s="91"/>
      <c r="C1103" s="91"/>
      <c r="D1103" s="91"/>
      <c r="E1103" s="227"/>
      <c r="F1103" s="91"/>
      <c r="G1103" s="91"/>
      <c r="H1103" s="91"/>
      <c r="I1103" s="91"/>
      <c r="J1103" s="91"/>
      <c r="K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c r="FB1103" s="91"/>
      <c r="FC1103" s="91"/>
      <c r="FD1103" s="91"/>
      <c r="FE1103" s="91"/>
      <c r="FF1103" s="91"/>
      <c r="FG1103" s="91"/>
      <c r="FH1103" s="91"/>
      <c r="FI1103" s="91"/>
      <c r="FJ1103" s="91"/>
      <c r="FK1103" s="91"/>
      <c r="FL1103" s="91"/>
      <c r="FM1103" s="91"/>
      <c r="FN1103" s="91"/>
      <c r="FO1103" s="91"/>
      <c r="FP1103" s="91"/>
      <c r="FQ1103" s="91"/>
      <c r="FR1103" s="91"/>
      <c r="FS1103" s="91"/>
      <c r="FT1103" s="91"/>
      <c r="FU1103" s="91"/>
      <c r="FV1103" s="91"/>
      <c r="FW1103" s="91"/>
      <c r="FX1103" s="91"/>
      <c r="FY1103" s="91"/>
      <c r="FZ1103" s="91"/>
      <c r="GA1103" s="91"/>
      <c r="GB1103" s="91"/>
      <c r="GC1103" s="91"/>
      <c r="GD1103" s="91"/>
      <c r="GE1103" s="91"/>
      <c r="GF1103" s="91"/>
      <c r="GG1103" s="91"/>
      <c r="GH1103" s="91"/>
      <c r="GI1103" s="91"/>
      <c r="GJ1103" s="91"/>
      <c r="GK1103" s="91"/>
      <c r="GL1103" s="91"/>
      <c r="GM1103" s="91"/>
      <c r="GN1103" s="91"/>
      <c r="GO1103" s="91"/>
      <c r="GP1103" s="91"/>
      <c r="GQ1103" s="91"/>
      <c r="GR1103" s="91"/>
      <c r="GS1103" s="91"/>
      <c r="GT1103" s="91"/>
      <c r="GU1103" s="91"/>
      <c r="GV1103" s="91"/>
      <c r="GW1103" s="91"/>
      <c r="GX1103" s="91"/>
      <c r="GY1103" s="91"/>
      <c r="GZ1103" s="91"/>
      <c r="HA1103" s="91"/>
      <c r="HB1103" s="91"/>
      <c r="HC1103" s="91"/>
      <c r="HD1103" s="91"/>
      <c r="HE1103" s="91"/>
      <c r="HF1103" s="91"/>
      <c r="HG1103" s="91"/>
      <c r="HH1103" s="91"/>
      <c r="HI1103" s="91"/>
      <c r="HJ1103" s="91"/>
      <c r="HK1103" s="91"/>
      <c r="HL1103" s="91"/>
      <c r="HM1103" s="91"/>
      <c r="HN1103" s="91"/>
      <c r="HO1103" s="91"/>
      <c r="HP1103" s="91"/>
      <c r="HQ1103" s="91"/>
      <c r="HR1103" s="91"/>
      <c r="HS1103" s="91"/>
      <c r="HT1103" s="91"/>
      <c r="HU1103" s="91"/>
      <c r="HV1103" s="91"/>
      <c r="HW1103" s="91"/>
      <c r="HX1103" s="91"/>
      <c r="HY1103" s="91"/>
      <c r="HZ1103" s="91"/>
      <c r="IA1103" s="91"/>
      <c r="IB1103" s="91"/>
      <c r="IC1103" s="91"/>
      <c r="ID1103" s="91"/>
      <c r="IE1103" s="91"/>
    </row>
    <row r="1104" spans="2:239" ht="15" x14ac:dyDescent="0.2">
      <c r="B1104" s="91"/>
      <c r="C1104" s="91"/>
      <c r="D1104" s="91"/>
      <c r="E1104" s="227"/>
      <c r="F1104" s="91"/>
      <c r="G1104" s="91"/>
      <c r="H1104" s="91"/>
      <c r="I1104" s="91"/>
      <c r="J1104" s="91"/>
      <c r="K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c r="FG1104" s="91"/>
      <c r="FH1104" s="91"/>
      <c r="FI1104" s="91"/>
      <c r="FJ1104" s="91"/>
      <c r="FK1104" s="91"/>
      <c r="FL1104" s="91"/>
      <c r="FM1104" s="91"/>
      <c r="FN1104" s="91"/>
      <c r="FO1104" s="91"/>
      <c r="FP1104" s="91"/>
      <c r="FQ1104" s="91"/>
      <c r="FR1104" s="91"/>
      <c r="FS1104" s="91"/>
      <c r="FT1104" s="91"/>
      <c r="FU1104" s="91"/>
      <c r="FV1104" s="91"/>
      <c r="FW1104" s="91"/>
      <c r="FX1104" s="91"/>
      <c r="FY1104" s="91"/>
      <c r="FZ1104" s="91"/>
      <c r="GA1104" s="91"/>
      <c r="GB1104" s="91"/>
      <c r="GC1104" s="91"/>
      <c r="GD1104" s="91"/>
      <c r="GE1104" s="91"/>
      <c r="GF1104" s="91"/>
      <c r="GG1104" s="91"/>
      <c r="GH1104" s="91"/>
      <c r="GI1104" s="91"/>
      <c r="GJ1104" s="91"/>
      <c r="GK1104" s="91"/>
      <c r="GL1104" s="91"/>
      <c r="GM1104" s="91"/>
      <c r="GN1104" s="91"/>
      <c r="GO1104" s="91"/>
      <c r="GP1104" s="91"/>
      <c r="GQ1104" s="91"/>
      <c r="GR1104" s="91"/>
      <c r="GS1104" s="91"/>
      <c r="GT1104" s="91"/>
      <c r="GU1104" s="91"/>
      <c r="GV1104" s="91"/>
      <c r="GW1104" s="91"/>
      <c r="GX1104" s="91"/>
      <c r="GY1104" s="91"/>
      <c r="GZ1104" s="91"/>
      <c r="HA1104" s="91"/>
      <c r="HB1104" s="91"/>
      <c r="HC1104" s="91"/>
      <c r="HD1104" s="91"/>
      <c r="HE1104" s="91"/>
      <c r="HF1104" s="91"/>
      <c r="HG1104" s="91"/>
      <c r="HH1104" s="91"/>
      <c r="HI1104" s="91"/>
      <c r="HJ1104" s="91"/>
      <c r="HK1104" s="91"/>
      <c r="HL1104" s="91"/>
      <c r="HM1104" s="91"/>
      <c r="HN1104" s="91"/>
      <c r="HO1104" s="91"/>
      <c r="HP1104" s="91"/>
      <c r="HQ1104" s="91"/>
      <c r="HR1104" s="91"/>
      <c r="HS1104" s="91"/>
      <c r="HT1104" s="91"/>
      <c r="HU1104" s="91"/>
      <c r="HV1104" s="91"/>
      <c r="HW1104" s="91"/>
      <c r="HX1104" s="91"/>
      <c r="HY1104" s="91"/>
      <c r="HZ1104" s="91"/>
      <c r="IA1104" s="91"/>
      <c r="IB1104" s="91"/>
      <c r="IC1104" s="91"/>
      <c r="ID1104" s="91"/>
      <c r="IE1104" s="91"/>
    </row>
    <row r="1105" spans="2:239" ht="15" x14ac:dyDescent="0.2">
      <c r="B1105" s="91"/>
      <c r="C1105" s="91"/>
      <c r="D1105" s="91"/>
      <c r="E1105" s="227"/>
      <c r="F1105" s="91"/>
      <c r="G1105" s="91"/>
      <c r="H1105" s="91"/>
      <c r="I1105" s="91"/>
      <c r="J1105" s="91"/>
      <c r="K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c r="FB1105" s="91"/>
      <c r="FC1105" s="91"/>
      <c r="FD1105" s="91"/>
      <c r="FE1105" s="91"/>
      <c r="FF1105" s="91"/>
      <c r="FG1105" s="91"/>
      <c r="FH1105" s="91"/>
      <c r="FI1105" s="91"/>
      <c r="FJ1105" s="91"/>
      <c r="FK1105" s="91"/>
      <c r="FL1105" s="91"/>
      <c r="FM1105" s="91"/>
      <c r="FN1105" s="91"/>
      <c r="FO1105" s="91"/>
      <c r="FP1105" s="91"/>
      <c r="FQ1105" s="91"/>
      <c r="FR1105" s="91"/>
      <c r="FS1105" s="91"/>
      <c r="FT1105" s="91"/>
      <c r="FU1105" s="91"/>
      <c r="FV1105" s="91"/>
      <c r="FW1105" s="91"/>
      <c r="FX1105" s="91"/>
      <c r="FY1105" s="91"/>
      <c r="FZ1105" s="91"/>
      <c r="GA1105" s="91"/>
      <c r="GB1105" s="91"/>
      <c r="GC1105" s="91"/>
      <c r="GD1105" s="91"/>
      <c r="GE1105" s="91"/>
      <c r="GF1105" s="91"/>
      <c r="GG1105" s="91"/>
      <c r="GH1105" s="91"/>
      <c r="GI1105" s="91"/>
      <c r="GJ1105" s="91"/>
      <c r="GK1105" s="91"/>
      <c r="GL1105" s="91"/>
      <c r="GM1105" s="91"/>
      <c r="GN1105" s="91"/>
      <c r="GO1105" s="91"/>
      <c r="GP1105" s="91"/>
      <c r="GQ1105" s="91"/>
      <c r="GR1105" s="91"/>
      <c r="GS1105" s="91"/>
      <c r="GT1105" s="91"/>
      <c r="GU1105" s="91"/>
      <c r="GV1105" s="91"/>
      <c r="GW1105" s="91"/>
      <c r="GX1105" s="91"/>
      <c r="GY1105" s="91"/>
      <c r="GZ1105" s="91"/>
      <c r="HA1105" s="91"/>
      <c r="HB1105" s="91"/>
      <c r="HC1105" s="91"/>
      <c r="HD1105" s="91"/>
      <c r="HE1105" s="91"/>
      <c r="HF1105" s="91"/>
      <c r="HG1105" s="91"/>
      <c r="HH1105" s="91"/>
      <c r="HI1105" s="91"/>
      <c r="HJ1105" s="91"/>
      <c r="HK1105" s="91"/>
      <c r="HL1105" s="91"/>
      <c r="HM1105" s="91"/>
      <c r="HN1105" s="91"/>
      <c r="HO1105" s="91"/>
      <c r="HP1105" s="91"/>
      <c r="HQ1105" s="91"/>
      <c r="HR1105" s="91"/>
      <c r="HS1105" s="91"/>
      <c r="HT1105" s="91"/>
      <c r="HU1105" s="91"/>
      <c r="HV1105" s="91"/>
      <c r="HW1105" s="91"/>
      <c r="HX1105" s="91"/>
      <c r="HY1105" s="91"/>
      <c r="HZ1105" s="91"/>
      <c r="IA1105" s="91"/>
      <c r="IB1105" s="91"/>
      <c r="IC1105" s="91"/>
      <c r="ID1105" s="91"/>
      <c r="IE1105" s="91"/>
    </row>
    <row r="1106" spans="2:239" ht="15" x14ac:dyDescent="0.2">
      <c r="B1106" s="91"/>
      <c r="C1106" s="91"/>
      <c r="D1106" s="91"/>
      <c r="E1106" s="227"/>
      <c r="F1106" s="91"/>
      <c r="G1106" s="91"/>
      <c r="H1106" s="91"/>
      <c r="I1106" s="91"/>
      <c r="J1106" s="91"/>
      <c r="K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c r="FG1106" s="91"/>
      <c r="FH1106" s="91"/>
      <c r="FI1106" s="91"/>
      <c r="FJ1106" s="91"/>
      <c r="FK1106" s="91"/>
      <c r="FL1106" s="91"/>
      <c r="FM1106" s="91"/>
      <c r="FN1106" s="91"/>
      <c r="FO1106" s="91"/>
      <c r="FP1106" s="91"/>
      <c r="FQ1106" s="91"/>
      <c r="FR1106" s="91"/>
      <c r="FS1106" s="91"/>
      <c r="FT1106" s="91"/>
      <c r="FU1106" s="91"/>
      <c r="FV1106" s="91"/>
      <c r="FW1106" s="91"/>
      <c r="FX1106" s="91"/>
      <c r="FY1106" s="91"/>
      <c r="FZ1106" s="91"/>
      <c r="GA1106" s="91"/>
      <c r="GB1106" s="91"/>
      <c r="GC1106" s="91"/>
      <c r="GD1106" s="91"/>
      <c r="GE1106" s="91"/>
      <c r="GF1106" s="91"/>
      <c r="GG1106" s="91"/>
      <c r="GH1106" s="91"/>
      <c r="GI1106" s="91"/>
      <c r="GJ1106" s="91"/>
      <c r="GK1106" s="91"/>
      <c r="GL1106" s="91"/>
      <c r="GM1106" s="91"/>
      <c r="GN1106" s="91"/>
      <c r="GO1106" s="91"/>
      <c r="GP1106" s="91"/>
      <c r="GQ1106" s="91"/>
      <c r="GR1106" s="91"/>
      <c r="GS1106" s="91"/>
      <c r="GT1106" s="91"/>
      <c r="GU1106" s="91"/>
      <c r="GV1106" s="91"/>
      <c r="GW1106" s="91"/>
      <c r="GX1106" s="91"/>
      <c r="GY1106" s="91"/>
      <c r="GZ1106" s="91"/>
      <c r="HA1106" s="91"/>
      <c r="HB1106" s="91"/>
      <c r="HC1106" s="91"/>
      <c r="HD1106" s="91"/>
      <c r="HE1106" s="91"/>
      <c r="HF1106" s="91"/>
      <c r="HG1106" s="91"/>
      <c r="HH1106" s="91"/>
      <c r="HI1106" s="91"/>
      <c r="HJ1106" s="91"/>
      <c r="HK1106" s="91"/>
      <c r="HL1106" s="91"/>
      <c r="HM1106" s="91"/>
      <c r="HN1106" s="91"/>
      <c r="HO1106" s="91"/>
      <c r="HP1106" s="91"/>
      <c r="HQ1106" s="91"/>
      <c r="HR1106" s="91"/>
      <c r="HS1106" s="91"/>
      <c r="HT1106" s="91"/>
      <c r="HU1106" s="91"/>
      <c r="HV1106" s="91"/>
      <c r="HW1106" s="91"/>
      <c r="HX1106" s="91"/>
      <c r="HY1106" s="91"/>
      <c r="HZ1106" s="91"/>
      <c r="IA1106" s="91"/>
      <c r="IB1106" s="91"/>
      <c r="IC1106" s="91"/>
      <c r="ID1106" s="91"/>
      <c r="IE1106" s="91"/>
    </row>
    <row r="1107" spans="2:239" ht="15" x14ac:dyDescent="0.2">
      <c r="B1107" s="91"/>
      <c r="C1107" s="91"/>
      <c r="D1107" s="91"/>
      <c r="E1107" s="227"/>
      <c r="F1107" s="91"/>
      <c r="G1107" s="91"/>
      <c r="H1107" s="91"/>
      <c r="I1107" s="91"/>
      <c r="J1107" s="91"/>
      <c r="K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c r="FB1107" s="91"/>
      <c r="FC1107" s="91"/>
      <c r="FD1107" s="91"/>
      <c r="FE1107" s="91"/>
      <c r="FF1107" s="91"/>
      <c r="FG1107" s="91"/>
      <c r="FH1107" s="91"/>
      <c r="FI1107" s="91"/>
      <c r="FJ1107" s="91"/>
      <c r="FK1107" s="91"/>
      <c r="FL1107" s="91"/>
      <c r="FM1107" s="91"/>
      <c r="FN1107" s="91"/>
      <c r="FO1107" s="91"/>
      <c r="FP1107" s="91"/>
      <c r="FQ1107" s="91"/>
      <c r="FR1107" s="91"/>
      <c r="FS1107" s="91"/>
      <c r="FT1107" s="91"/>
      <c r="FU1107" s="91"/>
      <c r="FV1107" s="91"/>
      <c r="FW1107" s="91"/>
      <c r="FX1107" s="91"/>
      <c r="FY1107" s="91"/>
      <c r="FZ1107" s="91"/>
      <c r="GA1107" s="91"/>
      <c r="GB1107" s="91"/>
      <c r="GC1107" s="91"/>
      <c r="GD1107" s="91"/>
      <c r="GE1107" s="91"/>
      <c r="GF1107" s="91"/>
      <c r="GG1107" s="91"/>
      <c r="GH1107" s="91"/>
      <c r="GI1107" s="91"/>
      <c r="GJ1107" s="91"/>
      <c r="GK1107" s="91"/>
      <c r="GL1107" s="91"/>
      <c r="GM1107" s="91"/>
      <c r="GN1107" s="91"/>
      <c r="GO1107" s="91"/>
      <c r="GP1107" s="91"/>
      <c r="GQ1107" s="91"/>
      <c r="GR1107" s="91"/>
      <c r="GS1107" s="91"/>
      <c r="GT1107" s="91"/>
      <c r="GU1107" s="91"/>
      <c r="GV1107" s="91"/>
      <c r="GW1107" s="91"/>
      <c r="GX1107" s="91"/>
      <c r="GY1107" s="91"/>
      <c r="GZ1107" s="91"/>
      <c r="HA1107" s="91"/>
      <c r="HB1107" s="91"/>
      <c r="HC1107" s="91"/>
      <c r="HD1107" s="91"/>
      <c r="HE1107" s="91"/>
      <c r="HF1107" s="91"/>
      <c r="HG1107" s="91"/>
      <c r="HH1107" s="91"/>
      <c r="HI1107" s="91"/>
      <c r="HJ1107" s="91"/>
      <c r="HK1107" s="91"/>
      <c r="HL1107" s="91"/>
      <c r="HM1107" s="91"/>
      <c r="HN1107" s="91"/>
      <c r="HO1107" s="91"/>
      <c r="HP1107" s="91"/>
      <c r="HQ1107" s="91"/>
      <c r="HR1107" s="91"/>
      <c r="HS1107" s="91"/>
      <c r="HT1107" s="91"/>
      <c r="HU1107" s="91"/>
      <c r="HV1107" s="91"/>
      <c r="HW1107" s="91"/>
      <c r="HX1107" s="91"/>
      <c r="HY1107" s="91"/>
      <c r="HZ1107" s="91"/>
      <c r="IA1107" s="91"/>
      <c r="IB1107" s="91"/>
      <c r="IC1107" s="91"/>
      <c r="ID1107" s="91"/>
      <c r="IE1107" s="91"/>
    </row>
    <row r="1108" spans="2:239" ht="15" x14ac:dyDescent="0.2">
      <c r="B1108" s="91"/>
      <c r="C1108" s="91"/>
      <c r="D1108" s="91"/>
      <c r="E1108" s="227"/>
      <c r="F1108" s="91"/>
      <c r="G1108" s="91"/>
      <c r="H1108" s="91"/>
      <c r="I1108" s="91"/>
      <c r="J1108" s="91"/>
      <c r="K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c r="FG1108" s="91"/>
      <c r="FH1108" s="91"/>
      <c r="FI1108" s="91"/>
      <c r="FJ1108" s="91"/>
      <c r="FK1108" s="91"/>
      <c r="FL1108" s="91"/>
      <c r="FM1108" s="91"/>
      <c r="FN1108" s="91"/>
      <c r="FO1108" s="91"/>
      <c r="FP1108" s="91"/>
      <c r="FQ1108" s="91"/>
      <c r="FR1108" s="91"/>
      <c r="FS1108" s="91"/>
      <c r="FT1108" s="91"/>
      <c r="FU1108" s="91"/>
      <c r="FV1108" s="91"/>
      <c r="FW1108" s="91"/>
      <c r="FX1108" s="91"/>
      <c r="FY1108" s="91"/>
      <c r="FZ1108" s="91"/>
      <c r="GA1108" s="91"/>
      <c r="GB1108" s="91"/>
      <c r="GC1108" s="91"/>
      <c r="GD1108" s="91"/>
      <c r="GE1108" s="91"/>
      <c r="GF1108" s="91"/>
      <c r="GG1108" s="91"/>
      <c r="GH1108" s="91"/>
      <c r="GI1108" s="91"/>
      <c r="GJ1108" s="91"/>
      <c r="GK1108" s="91"/>
      <c r="GL1108" s="91"/>
      <c r="GM1108" s="91"/>
      <c r="GN1108" s="91"/>
      <c r="GO1108" s="91"/>
      <c r="GP1108" s="91"/>
      <c r="GQ1108" s="91"/>
      <c r="GR1108" s="91"/>
      <c r="GS1108" s="91"/>
      <c r="GT1108" s="91"/>
      <c r="GU1108" s="91"/>
      <c r="GV1108" s="91"/>
      <c r="GW1108" s="91"/>
      <c r="GX1108" s="91"/>
      <c r="GY1108" s="91"/>
      <c r="GZ1108" s="91"/>
      <c r="HA1108" s="91"/>
      <c r="HB1108" s="91"/>
      <c r="HC1108" s="91"/>
      <c r="HD1108" s="91"/>
      <c r="HE1108" s="91"/>
      <c r="HF1108" s="91"/>
      <c r="HG1108" s="91"/>
      <c r="HH1108" s="91"/>
      <c r="HI1108" s="91"/>
      <c r="HJ1108" s="91"/>
      <c r="HK1108" s="91"/>
      <c r="HL1108" s="91"/>
      <c r="HM1108" s="91"/>
      <c r="HN1108" s="91"/>
      <c r="HO1108" s="91"/>
      <c r="HP1108" s="91"/>
      <c r="HQ1108" s="91"/>
      <c r="HR1108" s="91"/>
      <c r="HS1108" s="91"/>
      <c r="HT1108" s="91"/>
      <c r="HU1108" s="91"/>
      <c r="HV1108" s="91"/>
      <c r="HW1108" s="91"/>
      <c r="HX1108" s="91"/>
      <c r="HY1108" s="91"/>
      <c r="HZ1108" s="91"/>
      <c r="IA1108" s="91"/>
      <c r="IB1108" s="91"/>
      <c r="IC1108" s="91"/>
      <c r="ID1108" s="91"/>
      <c r="IE1108" s="91"/>
    </row>
    <row r="1109" spans="2:239" ht="15" x14ac:dyDescent="0.2">
      <c r="B1109" s="91"/>
      <c r="C1109" s="91"/>
      <c r="D1109" s="91"/>
      <c r="E1109" s="227"/>
      <c r="F1109" s="91"/>
      <c r="G1109" s="91"/>
      <c r="H1109" s="91"/>
      <c r="I1109" s="91"/>
      <c r="J1109" s="91"/>
      <c r="K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c r="FG1109" s="91"/>
      <c r="FH1109" s="91"/>
      <c r="FI1109" s="91"/>
      <c r="FJ1109" s="91"/>
      <c r="FK1109" s="91"/>
      <c r="FL1109" s="91"/>
      <c r="FM1109" s="91"/>
      <c r="FN1109" s="91"/>
      <c r="FO1109" s="91"/>
      <c r="FP1109" s="91"/>
      <c r="FQ1109" s="91"/>
      <c r="FR1109" s="91"/>
      <c r="FS1109" s="91"/>
      <c r="FT1109" s="91"/>
      <c r="FU1109" s="91"/>
      <c r="FV1109" s="91"/>
      <c r="FW1109" s="91"/>
      <c r="FX1109" s="91"/>
      <c r="FY1109" s="91"/>
      <c r="FZ1109" s="91"/>
      <c r="GA1109" s="91"/>
      <c r="GB1109" s="91"/>
      <c r="GC1109" s="91"/>
      <c r="GD1109" s="91"/>
      <c r="GE1109" s="91"/>
      <c r="GF1109" s="91"/>
      <c r="GG1109" s="91"/>
      <c r="GH1109" s="91"/>
      <c r="GI1109" s="91"/>
      <c r="GJ1109" s="91"/>
      <c r="GK1109" s="91"/>
      <c r="GL1109" s="91"/>
      <c r="GM1109" s="91"/>
      <c r="GN1109" s="91"/>
      <c r="GO1109" s="91"/>
      <c r="GP1109" s="91"/>
      <c r="GQ1109" s="91"/>
      <c r="GR1109" s="91"/>
      <c r="GS1109" s="91"/>
      <c r="GT1109" s="91"/>
      <c r="GU1109" s="91"/>
      <c r="GV1109" s="91"/>
      <c r="GW1109" s="91"/>
      <c r="GX1109" s="91"/>
      <c r="GY1109" s="91"/>
      <c r="GZ1109" s="91"/>
      <c r="HA1109" s="91"/>
      <c r="HB1109" s="91"/>
      <c r="HC1109" s="91"/>
      <c r="HD1109" s="91"/>
      <c r="HE1109" s="91"/>
      <c r="HF1109" s="91"/>
      <c r="HG1109" s="91"/>
      <c r="HH1109" s="91"/>
      <c r="HI1109" s="91"/>
      <c r="HJ1109" s="91"/>
      <c r="HK1109" s="91"/>
      <c r="HL1109" s="91"/>
      <c r="HM1109" s="91"/>
      <c r="HN1109" s="91"/>
      <c r="HO1109" s="91"/>
      <c r="HP1109" s="91"/>
      <c r="HQ1109" s="91"/>
      <c r="HR1109" s="91"/>
      <c r="HS1109" s="91"/>
      <c r="HT1109" s="91"/>
      <c r="HU1109" s="91"/>
      <c r="HV1109" s="91"/>
      <c r="HW1109" s="91"/>
      <c r="HX1109" s="91"/>
      <c r="HY1109" s="91"/>
      <c r="HZ1109" s="91"/>
      <c r="IA1109" s="91"/>
      <c r="IB1109" s="91"/>
      <c r="IC1109" s="91"/>
      <c r="ID1109" s="91"/>
      <c r="IE1109" s="91"/>
    </row>
    <row r="1110" spans="2:239" ht="15" x14ac:dyDescent="0.2">
      <c r="B1110" s="91"/>
      <c r="C1110" s="91"/>
      <c r="D1110" s="91"/>
      <c r="E1110" s="227"/>
      <c r="F1110" s="91"/>
      <c r="G1110" s="91"/>
      <c r="H1110" s="91"/>
      <c r="I1110" s="91"/>
      <c r="J1110" s="91"/>
      <c r="K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c r="FG1110" s="91"/>
      <c r="FH1110" s="91"/>
      <c r="FI1110" s="91"/>
      <c r="FJ1110" s="91"/>
      <c r="FK1110" s="91"/>
      <c r="FL1110" s="91"/>
      <c r="FM1110" s="91"/>
      <c r="FN1110" s="91"/>
      <c r="FO1110" s="91"/>
      <c r="FP1110" s="91"/>
      <c r="FQ1110" s="91"/>
      <c r="FR1110" s="91"/>
      <c r="FS1110" s="91"/>
      <c r="FT1110" s="91"/>
      <c r="FU1110" s="91"/>
      <c r="FV1110" s="91"/>
      <c r="FW1110" s="91"/>
      <c r="FX1110" s="91"/>
      <c r="FY1110" s="91"/>
      <c r="FZ1110" s="91"/>
      <c r="GA1110" s="91"/>
      <c r="GB1110" s="91"/>
      <c r="GC1110" s="91"/>
      <c r="GD1110" s="91"/>
      <c r="GE1110" s="91"/>
      <c r="GF1110" s="91"/>
      <c r="GG1110" s="91"/>
      <c r="GH1110" s="91"/>
      <c r="GI1110" s="91"/>
      <c r="GJ1110" s="91"/>
      <c r="GK1110" s="91"/>
      <c r="GL1110" s="91"/>
      <c r="GM1110" s="91"/>
      <c r="GN1110" s="91"/>
      <c r="GO1110" s="91"/>
      <c r="GP1110" s="91"/>
      <c r="GQ1110" s="91"/>
      <c r="GR1110" s="91"/>
      <c r="GS1110" s="91"/>
      <c r="GT1110" s="91"/>
      <c r="GU1110" s="91"/>
      <c r="GV1110" s="91"/>
      <c r="GW1110" s="91"/>
      <c r="GX1110" s="91"/>
      <c r="GY1110" s="91"/>
      <c r="GZ1110" s="91"/>
      <c r="HA1110" s="91"/>
      <c r="HB1110" s="91"/>
      <c r="HC1110" s="91"/>
      <c r="HD1110" s="91"/>
      <c r="HE1110" s="91"/>
      <c r="HF1110" s="91"/>
      <c r="HG1110" s="91"/>
      <c r="HH1110" s="91"/>
      <c r="HI1110" s="91"/>
      <c r="HJ1110" s="91"/>
      <c r="HK1110" s="91"/>
      <c r="HL1110" s="91"/>
      <c r="HM1110" s="91"/>
      <c r="HN1110" s="91"/>
      <c r="HO1110" s="91"/>
      <c r="HP1110" s="91"/>
      <c r="HQ1110" s="91"/>
      <c r="HR1110" s="91"/>
      <c r="HS1110" s="91"/>
      <c r="HT1110" s="91"/>
      <c r="HU1110" s="91"/>
      <c r="HV1110" s="91"/>
      <c r="HW1110" s="91"/>
      <c r="HX1110" s="91"/>
      <c r="HY1110" s="91"/>
      <c r="HZ1110" s="91"/>
      <c r="IA1110" s="91"/>
      <c r="IB1110" s="91"/>
      <c r="IC1110" s="91"/>
      <c r="ID1110" s="91"/>
      <c r="IE1110" s="91"/>
    </row>
    <row r="1111" spans="2:239" ht="15" x14ac:dyDescent="0.2">
      <c r="B1111" s="91"/>
      <c r="C1111" s="91"/>
      <c r="D1111" s="91"/>
      <c r="E1111" s="227"/>
      <c r="F1111" s="91"/>
      <c r="G1111" s="91"/>
      <c r="H1111" s="91"/>
      <c r="I1111" s="91"/>
      <c r="J1111" s="91"/>
      <c r="K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c r="FG1111" s="91"/>
      <c r="FH1111" s="91"/>
      <c r="FI1111" s="91"/>
      <c r="FJ1111" s="91"/>
      <c r="FK1111" s="91"/>
      <c r="FL1111" s="91"/>
      <c r="FM1111" s="91"/>
      <c r="FN1111" s="91"/>
      <c r="FO1111" s="91"/>
      <c r="FP1111" s="91"/>
      <c r="FQ1111" s="91"/>
      <c r="FR1111" s="91"/>
      <c r="FS1111" s="91"/>
      <c r="FT1111" s="91"/>
      <c r="FU1111" s="91"/>
      <c r="FV1111" s="91"/>
      <c r="FW1111" s="91"/>
      <c r="FX1111" s="91"/>
      <c r="FY1111" s="91"/>
      <c r="FZ1111" s="91"/>
      <c r="GA1111" s="91"/>
      <c r="GB1111" s="91"/>
      <c r="GC1111" s="91"/>
      <c r="GD1111" s="91"/>
      <c r="GE1111" s="91"/>
      <c r="GF1111" s="91"/>
      <c r="GG1111" s="91"/>
      <c r="GH1111" s="91"/>
      <c r="GI1111" s="91"/>
      <c r="GJ1111" s="91"/>
      <c r="GK1111" s="91"/>
      <c r="GL1111" s="91"/>
      <c r="GM1111" s="91"/>
      <c r="GN1111" s="91"/>
      <c r="GO1111" s="91"/>
      <c r="GP1111" s="91"/>
      <c r="GQ1111" s="91"/>
      <c r="GR1111" s="91"/>
      <c r="GS1111" s="91"/>
      <c r="GT1111" s="91"/>
      <c r="GU1111" s="91"/>
      <c r="GV1111" s="91"/>
      <c r="GW1111" s="91"/>
      <c r="GX1111" s="91"/>
      <c r="GY1111" s="91"/>
      <c r="GZ1111" s="91"/>
      <c r="HA1111" s="91"/>
      <c r="HB1111" s="91"/>
      <c r="HC1111" s="91"/>
      <c r="HD1111" s="91"/>
      <c r="HE1111" s="91"/>
      <c r="HF1111" s="91"/>
      <c r="HG1111" s="91"/>
      <c r="HH1111" s="91"/>
      <c r="HI1111" s="91"/>
      <c r="HJ1111" s="91"/>
      <c r="HK1111" s="91"/>
      <c r="HL1111" s="91"/>
      <c r="HM1111" s="91"/>
      <c r="HN1111" s="91"/>
      <c r="HO1111" s="91"/>
      <c r="HP1111" s="91"/>
      <c r="HQ1111" s="91"/>
      <c r="HR1111" s="91"/>
      <c r="HS1111" s="91"/>
      <c r="HT1111" s="91"/>
      <c r="HU1111" s="91"/>
      <c r="HV1111" s="91"/>
      <c r="HW1111" s="91"/>
      <c r="HX1111" s="91"/>
      <c r="HY1111" s="91"/>
      <c r="HZ1111" s="91"/>
      <c r="IA1111" s="91"/>
      <c r="IB1111" s="91"/>
      <c r="IC1111" s="91"/>
      <c r="ID1111" s="91"/>
      <c r="IE1111" s="91"/>
    </row>
    <row r="1112" spans="2:239" ht="15" x14ac:dyDescent="0.2">
      <c r="B1112" s="91"/>
      <c r="C1112" s="91"/>
      <c r="D1112" s="91"/>
      <c r="E1112" s="227"/>
      <c r="F1112" s="91"/>
      <c r="G1112" s="91"/>
      <c r="H1112" s="91"/>
      <c r="I1112" s="91"/>
      <c r="J1112" s="91"/>
      <c r="K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c r="FG1112" s="91"/>
      <c r="FH1112" s="91"/>
      <c r="FI1112" s="91"/>
      <c r="FJ1112" s="91"/>
      <c r="FK1112" s="91"/>
      <c r="FL1112" s="91"/>
      <c r="FM1112" s="91"/>
      <c r="FN1112" s="91"/>
      <c r="FO1112" s="91"/>
      <c r="FP1112" s="91"/>
      <c r="FQ1112" s="91"/>
      <c r="FR1112" s="91"/>
      <c r="FS1112" s="91"/>
      <c r="FT1112" s="91"/>
      <c r="FU1112" s="91"/>
      <c r="FV1112" s="91"/>
      <c r="FW1112" s="91"/>
      <c r="FX1112" s="91"/>
      <c r="FY1112" s="91"/>
      <c r="FZ1112" s="91"/>
      <c r="GA1112" s="91"/>
      <c r="GB1112" s="91"/>
      <c r="GC1112" s="91"/>
      <c r="GD1112" s="91"/>
      <c r="GE1112" s="91"/>
      <c r="GF1112" s="91"/>
      <c r="GG1112" s="91"/>
      <c r="GH1112" s="91"/>
      <c r="GI1112" s="91"/>
      <c r="GJ1112" s="91"/>
      <c r="GK1112" s="91"/>
      <c r="GL1112" s="91"/>
      <c r="GM1112" s="91"/>
      <c r="GN1112" s="91"/>
      <c r="GO1112" s="91"/>
      <c r="GP1112" s="91"/>
      <c r="GQ1112" s="91"/>
      <c r="GR1112" s="91"/>
      <c r="GS1112" s="91"/>
      <c r="GT1112" s="91"/>
      <c r="GU1112" s="91"/>
      <c r="GV1112" s="91"/>
      <c r="GW1112" s="91"/>
      <c r="GX1112" s="91"/>
      <c r="GY1112" s="91"/>
      <c r="GZ1112" s="91"/>
      <c r="HA1112" s="91"/>
      <c r="HB1112" s="91"/>
      <c r="HC1112" s="91"/>
      <c r="HD1112" s="91"/>
      <c r="HE1112" s="91"/>
      <c r="HF1112" s="91"/>
      <c r="HG1112" s="91"/>
      <c r="HH1112" s="91"/>
      <c r="HI1112" s="91"/>
      <c r="HJ1112" s="91"/>
      <c r="HK1112" s="91"/>
      <c r="HL1112" s="91"/>
      <c r="HM1112" s="91"/>
      <c r="HN1112" s="91"/>
      <c r="HO1112" s="91"/>
      <c r="HP1112" s="91"/>
      <c r="HQ1112" s="91"/>
      <c r="HR1112" s="91"/>
      <c r="HS1112" s="91"/>
      <c r="HT1112" s="91"/>
      <c r="HU1112" s="91"/>
      <c r="HV1112" s="91"/>
      <c r="HW1112" s="91"/>
      <c r="HX1112" s="91"/>
      <c r="HY1112" s="91"/>
      <c r="HZ1112" s="91"/>
      <c r="IA1112" s="91"/>
      <c r="IB1112" s="91"/>
      <c r="IC1112" s="91"/>
      <c r="ID1112" s="91"/>
      <c r="IE1112" s="91"/>
    </row>
    <row r="1113" spans="2:239" ht="15" x14ac:dyDescent="0.2">
      <c r="B1113" s="91"/>
      <c r="C1113" s="91"/>
      <c r="D1113" s="91"/>
      <c r="E1113" s="227"/>
      <c r="F1113" s="91"/>
      <c r="G1113" s="91"/>
      <c r="H1113" s="91"/>
      <c r="I1113" s="91"/>
      <c r="J1113" s="91"/>
      <c r="K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c r="FB1113" s="91"/>
      <c r="FC1113" s="91"/>
      <c r="FD1113" s="91"/>
      <c r="FE1113" s="91"/>
      <c r="FF1113" s="91"/>
      <c r="FG1113" s="91"/>
      <c r="FH1113" s="91"/>
      <c r="FI1113" s="91"/>
      <c r="FJ1113" s="91"/>
      <c r="FK1113" s="91"/>
      <c r="FL1113" s="91"/>
      <c r="FM1113" s="91"/>
      <c r="FN1113" s="91"/>
      <c r="FO1113" s="91"/>
      <c r="FP1113" s="91"/>
      <c r="FQ1113" s="91"/>
      <c r="FR1113" s="91"/>
      <c r="FS1113" s="91"/>
      <c r="FT1113" s="91"/>
      <c r="FU1113" s="91"/>
      <c r="FV1113" s="91"/>
      <c r="FW1113" s="91"/>
      <c r="FX1113" s="91"/>
      <c r="FY1113" s="91"/>
      <c r="FZ1113" s="91"/>
      <c r="GA1113" s="91"/>
      <c r="GB1113" s="91"/>
      <c r="GC1113" s="91"/>
      <c r="GD1113" s="91"/>
      <c r="GE1113" s="91"/>
      <c r="GF1113" s="91"/>
      <c r="GG1113" s="91"/>
      <c r="GH1113" s="91"/>
      <c r="GI1113" s="91"/>
      <c r="GJ1113" s="91"/>
      <c r="GK1113" s="91"/>
      <c r="GL1113" s="91"/>
      <c r="GM1113" s="91"/>
      <c r="GN1113" s="91"/>
      <c r="GO1113" s="91"/>
      <c r="GP1113" s="91"/>
      <c r="GQ1113" s="91"/>
      <c r="GR1113" s="91"/>
      <c r="GS1113" s="91"/>
      <c r="GT1113" s="91"/>
      <c r="GU1113" s="91"/>
      <c r="GV1113" s="91"/>
      <c r="GW1113" s="91"/>
      <c r="GX1113" s="91"/>
      <c r="GY1113" s="91"/>
      <c r="GZ1113" s="91"/>
      <c r="HA1113" s="91"/>
      <c r="HB1113" s="91"/>
      <c r="HC1113" s="91"/>
      <c r="HD1113" s="91"/>
      <c r="HE1113" s="91"/>
      <c r="HF1113" s="91"/>
      <c r="HG1113" s="91"/>
      <c r="HH1113" s="91"/>
      <c r="HI1113" s="91"/>
      <c r="HJ1113" s="91"/>
      <c r="HK1113" s="91"/>
      <c r="HL1113" s="91"/>
      <c r="HM1113" s="91"/>
      <c r="HN1113" s="91"/>
      <c r="HO1113" s="91"/>
      <c r="HP1113" s="91"/>
      <c r="HQ1113" s="91"/>
      <c r="HR1113" s="91"/>
      <c r="HS1113" s="91"/>
      <c r="HT1113" s="91"/>
      <c r="HU1113" s="91"/>
      <c r="HV1113" s="91"/>
      <c r="HW1113" s="91"/>
      <c r="HX1113" s="91"/>
      <c r="HY1113" s="91"/>
      <c r="HZ1113" s="91"/>
      <c r="IA1113" s="91"/>
      <c r="IB1113" s="91"/>
      <c r="IC1113" s="91"/>
      <c r="ID1113" s="91"/>
      <c r="IE1113" s="91"/>
    </row>
    <row r="1114" spans="2:239" ht="15" x14ac:dyDescent="0.2">
      <c r="B1114" s="91"/>
      <c r="C1114" s="91"/>
      <c r="D1114" s="91"/>
      <c r="E1114" s="227"/>
      <c r="F1114" s="91"/>
      <c r="G1114" s="91"/>
      <c r="H1114" s="91"/>
      <c r="I1114" s="91"/>
      <c r="J1114" s="91"/>
      <c r="K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c r="FG1114" s="91"/>
      <c r="FH1114" s="91"/>
      <c r="FI1114" s="91"/>
      <c r="FJ1114" s="91"/>
      <c r="FK1114" s="91"/>
      <c r="FL1114" s="91"/>
      <c r="FM1114" s="91"/>
      <c r="FN1114" s="91"/>
      <c r="FO1114" s="91"/>
      <c r="FP1114" s="91"/>
      <c r="FQ1114" s="91"/>
      <c r="FR1114" s="91"/>
      <c r="FS1114" s="91"/>
      <c r="FT1114" s="91"/>
      <c r="FU1114" s="91"/>
      <c r="FV1114" s="91"/>
      <c r="FW1114" s="91"/>
      <c r="FX1114" s="91"/>
      <c r="FY1114" s="91"/>
      <c r="FZ1114" s="91"/>
      <c r="GA1114" s="91"/>
      <c r="GB1114" s="91"/>
      <c r="GC1114" s="91"/>
      <c r="GD1114" s="91"/>
      <c r="GE1114" s="91"/>
      <c r="GF1114" s="91"/>
      <c r="GG1114" s="91"/>
      <c r="GH1114" s="91"/>
      <c r="GI1114" s="91"/>
      <c r="GJ1114" s="91"/>
      <c r="GK1114" s="91"/>
      <c r="GL1114" s="91"/>
      <c r="GM1114" s="91"/>
      <c r="GN1114" s="91"/>
      <c r="GO1114" s="91"/>
      <c r="GP1114" s="91"/>
      <c r="GQ1114" s="91"/>
      <c r="GR1114" s="91"/>
      <c r="GS1114" s="91"/>
      <c r="GT1114" s="91"/>
      <c r="GU1114" s="91"/>
      <c r="GV1114" s="91"/>
      <c r="GW1114" s="91"/>
      <c r="GX1114" s="91"/>
      <c r="GY1114" s="91"/>
      <c r="GZ1114" s="91"/>
      <c r="HA1114" s="91"/>
      <c r="HB1114" s="91"/>
      <c r="HC1114" s="91"/>
      <c r="HD1114" s="91"/>
      <c r="HE1114" s="91"/>
      <c r="HF1114" s="91"/>
      <c r="HG1114" s="91"/>
      <c r="HH1114" s="91"/>
      <c r="HI1114" s="91"/>
      <c r="HJ1114" s="91"/>
      <c r="HK1114" s="91"/>
      <c r="HL1114" s="91"/>
      <c r="HM1114" s="91"/>
      <c r="HN1114" s="91"/>
      <c r="HO1114" s="91"/>
      <c r="HP1114" s="91"/>
      <c r="HQ1114" s="91"/>
      <c r="HR1114" s="91"/>
      <c r="HS1114" s="91"/>
      <c r="HT1114" s="91"/>
      <c r="HU1114" s="91"/>
      <c r="HV1114" s="91"/>
      <c r="HW1114" s="91"/>
      <c r="HX1114" s="91"/>
      <c r="HY1114" s="91"/>
      <c r="HZ1114" s="91"/>
      <c r="IA1114" s="91"/>
      <c r="IB1114" s="91"/>
      <c r="IC1114" s="91"/>
      <c r="ID1114" s="91"/>
      <c r="IE1114" s="91"/>
    </row>
    <row r="1115" spans="2:239" ht="15" x14ac:dyDescent="0.2">
      <c r="B1115" s="91"/>
      <c r="C1115" s="91"/>
      <c r="D1115" s="91"/>
      <c r="E1115" s="227"/>
      <c r="F1115" s="91"/>
      <c r="G1115" s="91"/>
      <c r="H1115" s="91"/>
      <c r="I1115" s="91"/>
      <c r="J1115" s="91"/>
      <c r="K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c r="FB1115" s="91"/>
      <c r="FC1115" s="91"/>
      <c r="FD1115" s="91"/>
      <c r="FE1115" s="91"/>
      <c r="FF1115" s="91"/>
      <c r="FG1115" s="91"/>
      <c r="FH1115" s="91"/>
      <c r="FI1115" s="91"/>
      <c r="FJ1115" s="91"/>
      <c r="FK1115" s="91"/>
      <c r="FL1115" s="91"/>
      <c r="FM1115" s="91"/>
      <c r="FN1115" s="91"/>
      <c r="FO1115" s="91"/>
      <c r="FP1115" s="91"/>
      <c r="FQ1115" s="91"/>
      <c r="FR1115" s="91"/>
      <c r="FS1115" s="91"/>
      <c r="FT1115" s="91"/>
      <c r="FU1115" s="91"/>
      <c r="FV1115" s="91"/>
      <c r="FW1115" s="91"/>
      <c r="FX1115" s="91"/>
      <c r="FY1115" s="91"/>
      <c r="FZ1115" s="91"/>
      <c r="GA1115" s="91"/>
      <c r="GB1115" s="91"/>
      <c r="GC1115" s="91"/>
      <c r="GD1115" s="91"/>
      <c r="GE1115" s="91"/>
      <c r="GF1115" s="91"/>
      <c r="GG1115" s="91"/>
      <c r="GH1115" s="91"/>
      <c r="GI1115" s="91"/>
      <c r="GJ1115" s="91"/>
      <c r="GK1115" s="91"/>
      <c r="GL1115" s="91"/>
      <c r="GM1115" s="91"/>
      <c r="GN1115" s="91"/>
      <c r="GO1115" s="91"/>
      <c r="GP1115" s="91"/>
      <c r="GQ1115" s="91"/>
      <c r="GR1115" s="91"/>
      <c r="GS1115" s="91"/>
      <c r="GT1115" s="91"/>
      <c r="GU1115" s="91"/>
      <c r="GV1115" s="91"/>
      <c r="GW1115" s="91"/>
      <c r="GX1115" s="91"/>
      <c r="GY1115" s="91"/>
      <c r="GZ1115" s="91"/>
      <c r="HA1115" s="91"/>
      <c r="HB1115" s="91"/>
      <c r="HC1115" s="91"/>
      <c r="HD1115" s="91"/>
      <c r="HE1115" s="91"/>
      <c r="HF1115" s="91"/>
      <c r="HG1115" s="91"/>
      <c r="HH1115" s="91"/>
      <c r="HI1115" s="91"/>
      <c r="HJ1115" s="91"/>
      <c r="HK1115" s="91"/>
      <c r="HL1115" s="91"/>
      <c r="HM1115" s="91"/>
      <c r="HN1115" s="91"/>
      <c r="HO1115" s="91"/>
      <c r="HP1115" s="91"/>
      <c r="HQ1115" s="91"/>
      <c r="HR1115" s="91"/>
      <c r="HS1115" s="91"/>
      <c r="HT1115" s="91"/>
      <c r="HU1115" s="91"/>
      <c r="HV1115" s="91"/>
      <c r="HW1115" s="91"/>
      <c r="HX1115" s="91"/>
      <c r="HY1115" s="91"/>
      <c r="HZ1115" s="91"/>
      <c r="IA1115" s="91"/>
      <c r="IB1115" s="91"/>
      <c r="IC1115" s="91"/>
      <c r="ID1115" s="91"/>
      <c r="IE1115" s="91"/>
    </row>
    <row r="1116" spans="2:239" ht="15" x14ac:dyDescent="0.2">
      <c r="B1116" s="91"/>
      <c r="C1116" s="91"/>
      <c r="D1116" s="91"/>
      <c r="E1116" s="227"/>
      <c r="F1116" s="91"/>
      <c r="G1116" s="91"/>
      <c r="H1116" s="91"/>
      <c r="I1116" s="91"/>
      <c r="J1116" s="91"/>
      <c r="K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c r="FG1116" s="91"/>
      <c r="FH1116" s="91"/>
      <c r="FI1116" s="91"/>
      <c r="FJ1116" s="91"/>
      <c r="FK1116" s="91"/>
      <c r="FL1116" s="91"/>
      <c r="FM1116" s="91"/>
      <c r="FN1116" s="91"/>
      <c r="FO1116" s="91"/>
      <c r="FP1116" s="91"/>
      <c r="FQ1116" s="91"/>
      <c r="FR1116" s="91"/>
      <c r="FS1116" s="91"/>
      <c r="FT1116" s="91"/>
      <c r="FU1116" s="91"/>
      <c r="FV1116" s="91"/>
      <c r="FW1116" s="91"/>
      <c r="FX1116" s="91"/>
      <c r="FY1116" s="91"/>
      <c r="FZ1116" s="91"/>
      <c r="GA1116" s="91"/>
      <c r="GB1116" s="91"/>
      <c r="GC1116" s="91"/>
      <c r="GD1116" s="91"/>
      <c r="GE1116" s="91"/>
      <c r="GF1116" s="91"/>
      <c r="GG1116" s="91"/>
      <c r="GH1116" s="91"/>
      <c r="GI1116" s="91"/>
      <c r="GJ1116" s="91"/>
      <c r="GK1116" s="91"/>
      <c r="GL1116" s="91"/>
      <c r="GM1116" s="91"/>
      <c r="GN1116" s="91"/>
      <c r="GO1116" s="91"/>
      <c r="GP1116" s="91"/>
      <c r="GQ1116" s="91"/>
      <c r="GR1116" s="91"/>
      <c r="GS1116" s="91"/>
      <c r="GT1116" s="91"/>
      <c r="GU1116" s="91"/>
      <c r="GV1116" s="91"/>
      <c r="GW1116" s="91"/>
      <c r="GX1116" s="91"/>
      <c r="GY1116" s="91"/>
      <c r="GZ1116" s="91"/>
      <c r="HA1116" s="91"/>
      <c r="HB1116" s="91"/>
      <c r="HC1116" s="91"/>
      <c r="HD1116" s="91"/>
      <c r="HE1116" s="91"/>
      <c r="HF1116" s="91"/>
      <c r="HG1116" s="91"/>
      <c r="HH1116" s="91"/>
      <c r="HI1116" s="91"/>
      <c r="HJ1116" s="91"/>
      <c r="HK1116" s="91"/>
      <c r="HL1116" s="91"/>
      <c r="HM1116" s="91"/>
      <c r="HN1116" s="91"/>
      <c r="HO1116" s="91"/>
      <c r="HP1116" s="91"/>
      <c r="HQ1116" s="91"/>
      <c r="HR1116" s="91"/>
      <c r="HS1116" s="91"/>
      <c r="HT1116" s="91"/>
      <c r="HU1116" s="91"/>
      <c r="HV1116" s="91"/>
      <c r="HW1116" s="91"/>
      <c r="HX1116" s="91"/>
      <c r="HY1116" s="91"/>
      <c r="HZ1116" s="91"/>
      <c r="IA1116" s="91"/>
      <c r="IB1116" s="91"/>
      <c r="IC1116" s="91"/>
      <c r="ID1116" s="91"/>
      <c r="IE1116" s="91"/>
    </row>
    <row r="1117" spans="2:239" ht="15" x14ac:dyDescent="0.2">
      <c r="B1117" s="91"/>
      <c r="C1117" s="91"/>
      <c r="D1117" s="91"/>
      <c r="E1117" s="227"/>
      <c r="F1117" s="91"/>
      <c r="G1117" s="91"/>
      <c r="H1117" s="91"/>
      <c r="I1117" s="91"/>
      <c r="J1117" s="91"/>
      <c r="K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c r="FB1117" s="91"/>
      <c r="FC1117" s="91"/>
      <c r="FD1117" s="91"/>
      <c r="FE1117" s="91"/>
      <c r="FF1117" s="91"/>
      <c r="FG1117" s="91"/>
      <c r="FH1117" s="91"/>
      <c r="FI1117" s="91"/>
      <c r="FJ1117" s="91"/>
      <c r="FK1117" s="91"/>
      <c r="FL1117" s="91"/>
      <c r="FM1117" s="91"/>
      <c r="FN1117" s="91"/>
      <c r="FO1117" s="91"/>
      <c r="FP1117" s="91"/>
      <c r="FQ1117" s="91"/>
      <c r="FR1117" s="91"/>
      <c r="FS1117" s="91"/>
      <c r="FT1117" s="91"/>
      <c r="FU1117" s="91"/>
      <c r="FV1117" s="91"/>
      <c r="FW1117" s="91"/>
      <c r="FX1117" s="91"/>
      <c r="FY1117" s="91"/>
      <c r="FZ1117" s="91"/>
      <c r="GA1117" s="91"/>
      <c r="GB1117" s="91"/>
      <c r="GC1117" s="91"/>
      <c r="GD1117" s="91"/>
      <c r="GE1117" s="91"/>
      <c r="GF1117" s="91"/>
      <c r="GG1117" s="91"/>
      <c r="GH1117" s="91"/>
      <c r="GI1117" s="91"/>
      <c r="GJ1117" s="91"/>
      <c r="GK1117" s="91"/>
      <c r="GL1117" s="91"/>
      <c r="GM1117" s="91"/>
      <c r="GN1117" s="91"/>
      <c r="GO1117" s="91"/>
      <c r="GP1117" s="91"/>
      <c r="GQ1117" s="91"/>
      <c r="GR1117" s="91"/>
      <c r="GS1117" s="91"/>
      <c r="GT1117" s="91"/>
      <c r="GU1117" s="91"/>
      <c r="GV1117" s="91"/>
      <c r="GW1117" s="91"/>
      <c r="GX1117" s="91"/>
      <c r="GY1117" s="91"/>
      <c r="GZ1117" s="91"/>
      <c r="HA1117" s="91"/>
      <c r="HB1117" s="91"/>
      <c r="HC1117" s="91"/>
      <c r="HD1117" s="91"/>
      <c r="HE1117" s="91"/>
      <c r="HF1117" s="91"/>
      <c r="HG1117" s="91"/>
      <c r="HH1117" s="91"/>
      <c r="HI1117" s="91"/>
      <c r="HJ1117" s="91"/>
      <c r="HK1117" s="91"/>
      <c r="HL1117" s="91"/>
      <c r="HM1117" s="91"/>
      <c r="HN1117" s="91"/>
      <c r="HO1117" s="91"/>
      <c r="HP1117" s="91"/>
      <c r="HQ1117" s="91"/>
      <c r="HR1117" s="91"/>
      <c r="HS1117" s="91"/>
      <c r="HT1117" s="91"/>
      <c r="HU1117" s="91"/>
      <c r="HV1117" s="91"/>
      <c r="HW1117" s="91"/>
      <c r="HX1117" s="91"/>
      <c r="HY1117" s="91"/>
      <c r="HZ1117" s="91"/>
      <c r="IA1117" s="91"/>
      <c r="IB1117" s="91"/>
      <c r="IC1117" s="91"/>
      <c r="ID1117" s="91"/>
      <c r="IE1117" s="91"/>
    </row>
    <row r="1118" spans="2:239" ht="15" x14ac:dyDescent="0.2">
      <c r="B1118" s="91"/>
      <c r="C1118" s="91"/>
      <c r="D1118" s="91"/>
      <c r="E1118" s="227"/>
      <c r="F1118" s="91"/>
      <c r="G1118" s="91"/>
      <c r="H1118" s="91"/>
      <c r="I1118" s="91"/>
      <c r="J1118" s="91"/>
      <c r="K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c r="FG1118" s="91"/>
      <c r="FH1118" s="91"/>
      <c r="FI1118" s="91"/>
      <c r="FJ1118" s="91"/>
      <c r="FK1118" s="91"/>
      <c r="FL1118" s="91"/>
      <c r="FM1118" s="91"/>
      <c r="FN1118" s="91"/>
      <c r="FO1118" s="91"/>
      <c r="FP1118" s="91"/>
      <c r="FQ1118" s="91"/>
      <c r="FR1118" s="91"/>
      <c r="FS1118" s="91"/>
      <c r="FT1118" s="91"/>
      <c r="FU1118" s="91"/>
      <c r="FV1118" s="91"/>
      <c r="FW1118" s="91"/>
      <c r="FX1118" s="91"/>
      <c r="FY1118" s="91"/>
      <c r="FZ1118" s="91"/>
      <c r="GA1118" s="91"/>
      <c r="GB1118" s="91"/>
      <c r="GC1118" s="91"/>
      <c r="GD1118" s="91"/>
      <c r="GE1118" s="91"/>
      <c r="GF1118" s="91"/>
      <c r="GG1118" s="91"/>
      <c r="GH1118" s="91"/>
      <c r="GI1118" s="91"/>
      <c r="GJ1118" s="91"/>
      <c r="GK1118" s="91"/>
      <c r="GL1118" s="91"/>
      <c r="GM1118" s="91"/>
      <c r="GN1118" s="91"/>
      <c r="GO1118" s="91"/>
      <c r="GP1118" s="91"/>
      <c r="GQ1118" s="91"/>
      <c r="GR1118" s="91"/>
      <c r="GS1118" s="91"/>
      <c r="GT1118" s="91"/>
      <c r="GU1118" s="91"/>
      <c r="GV1118" s="91"/>
      <c r="GW1118" s="91"/>
      <c r="GX1118" s="91"/>
      <c r="GY1118" s="91"/>
      <c r="GZ1118" s="91"/>
      <c r="HA1118" s="91"/>
      <c r="HB1118" s="91"/>
      <c r="HC1118" s="91"/>
      <c r="HD1118" s="91"/>
      <c r="HE1118" s="91"/>
      <c r="HF1118" s="91"/>
      <c r="HG1118" s="91"/>
      <c r="HH1118" s="91"/>
      <c r="HI1118" s="91"/>
      <c r="HJ1118" s="91"/>
      <c r="HK1118" s="91"/>
      <c r="HL1118" s="91"/>
      <c r="HM1118" s="91"/>
      <c r="HN1118" s="91"/>
      <c r="HO1118" s="91"/>
      <c r="HP1118" s="91"/>
      <c r="HQ1118" s="91"/>
      <c r="HR1118" s="91"/>
      <c r="HS1118" s="91"/>
      <c r="HT1118" s="91"/>
      <c r="HU1118" s="91"/>
      <c r="HV1118" s="91"/>
      <c r="HW1118" s="91"/>
      <c r="HX1118" s="91"/>
      <c r="HY1118" s="91"/>
      <c r="HZ1118" s="91"/>
      <c r="IA1118" s="91"/>
      <c r="IB1118" s="91"/>
      <c r="IC1118" s="91"/>
      <c r="ID1118" s="91"/>
      <c r="IE1118" s="91"/>
    </row>
    <row r="1119" spans="2:239" ht="15" x14ac:dyDescent="0.2">
      <c r="B1119" s="91"/>
      <c r="C1119" s="91"/>
      <c r="D1119" s="91"/>
      <c r="E1119" s="227"/>
      <c r="F1119" s="91"/>
      <c r="G1119" s="91"/>
      <c r="H1119" s="91"/>
      <c r="I1119" s="91"/>
      <c r="J1119" s="91"/>
      <c r="K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c r="FB1119" s="91"/>
      <c r="FC1119" s="91"/>
      <c r="FD1119" s="91"/>
      <c r="FE1119" s="91"/>
      <c r="FF1119" s="91"/>
      <c r="FG1119" s="91"/>
      <c r="FH1119" s="91"/>
      <c r="FI1119" s="91"/>
      <c r="FJ1119" s="91"/>
      <c r="FK1119" s="91"/>
      <c r="FL1119" s="91"/>
      <c r="FM1119" s="91"/>
      <c r="FN1119" s="91"/>
      <c r="FO1119" s="91"/>
      <c r="FP1119" s="91"/>
      <c r="FQ1119" s="91"/>
      <c r="FR1119" s="91"/>
      <c r="FS1119" s="91"/>
      <c r="FT1119" s="91"/>
      <c r="FU1119" s="91"/>
      <c r="FV1119" s="91"/>
      <c r="FW1119" s="91"/>
      <c r="FX1119" s="91"/>
      <c r="FY1119" s="91"/>
      <c r="FZ1119" s="91"/>
      <c r="GA1119" s="91"/>
      <c r="GB1119" s="91"/>
      <c r="GC1119" s="91"/>
      <c r="GD1119" s="91"/>
      <c r="GE1119" s="91"/>
      <c r="GF1119" s="91"/>
      <c r="GG1119" s="91"/>
      <c r="GH1119" s="91"/>
      <c r="GI1119" s="91"/>
      <c r="GJ1119" s="91"/>
      <c r="GK1119" s="91"/>
      <c r="GL1119" s="91"/>
      <c r="GM1119" s="91"/>
      <c r="GN1119" s="91"/>
      <c r="GO1119" s="91"/>
      <c r="GP1119" s="91"/>
      <c r="GQ1119" s="91"/>
      <c r="GR1119" s="91"/>
      <c r="GS1119" s="91"/>
      <c r="GT1119" s="91"/>
      <c r="GU1119" s="91"/>
      <c r="GV1119" s="91"/>
      <c r="GW1119" s="91"/>
      <c r="GX1119" s="91"/>
      <c r="GY1119" s="91"/>
      <c r="GZ1119" s="91"/>
      <c r="HA1119" s="91"/>
      <c r="HB1119" s="91"/>
      <c r="HC1119" s="91"/>
      <c r="HD1119" s="91"/>
      <c r="HE1119" s="91"/>
      <c r="HF1119" s="91"/>
      <c r="HG1119" s="91"/>
      <c r="HH1119" s="91"/>
      <c r="HI1119" s="91"/>
      <c r="HJ1119" s="91"/>
      <c r="HK1119" s="91"/>
      <c r="HL1119" s="91"/>
      <c r="HM1119" s="91"/>
      <c r="HN1119" s="91"/>
      <c r="HO1119" s="91"/>
      <c r="HP1119" s="91"/>
      <c r="HQ1119" s="91"/>
      <c r="HR1119" s="91"/>
      <c r="HS1119" s="91"/>
      <c r="HT1119" s="91"/>
      <c r="HU1119" s="91"/>
      <c r="HV1119" s="91"/>
      <c r="HW1119" s="91"/>
      <c r="HX1119" s="91"/>
      <c r="HY1119" s="91"/>
      <c r="HZ1119" s="91"/>
      <c r="IA1119" s="91"/>
      <c r="IB1119" s="91"/>
      <c r="IC1119" s="91"/>
      <c r="ID1119" s="91"/>
      <c r="IE1119" s="91"/>
    </row>
    <row r="1120" spans="2:239" ht="15" x14ac:dyDescent="0.2">
      <c r="B1120" s="91"/>
      <c r="C1120" s="91"/>
      <c r="D1120" s="91"/>
      <c r="E1120" s="227"/>
      <c r="F1120" s="91"/>
      <c r="G1120" s="91"/>
      <c r="H1120" s="91"/>
      <c r="I1120" s="91"/>
      <c r="J1120" s="91"/>
      <c r="K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c r="FB1120" s="91"/>
      <c r="FC1120" s="91"/>
      <c r="FD1120" s="91"/>
      <c r="FE1120" s="91"/>
      <c r="FF1120" s="91"/>
      <c r="FG1120" s="91"/>
      <c r="FH1120" s="91"/>
      <c r="FI1120" s="91"/>
      <c r="FJ1120" s="91"/>
      <c r="FK1120" s="91"/>
      <c r="FL1120" s="91"/>
      <c r="FM1120" s="91"/>
      <c r="FN1120" s="91"/>
      <c r="FO1120" s="91"/>
      <c r="FP1120" s="91"/>
      <c r="FQ1120" s="91"/>
      <c r="FR1120" s="91"/>
      <c r="FS1120" s="91"/>
      <c r="FT1120" s="91"/>
      <c r="FU1120" s="91"/>
      <c r="FV1120" s="91"/>
      <c r="FW1120" s="91"/>
      <c r="FX1120" s="91"/>
      <c r="FY1120" s="91"/>
      <c r="FZ1120" s="91"/>
      <c r="GA1120" s="91"/>
      <c r="GB1120" s="91"/>
      <c r="GC1120" s="91"/>
      <c r="GD1120" s="91"/>
      <c r="GE1120" s="91"/>
      <c r="GF1120" s="91"/>
      <c r="GG1120" s="91"/>
      <c r="GH1120" s="91"/>
      <c r="GI1120" s="91"/>
      <c r="GJ1120" s="91"/>
      <c r="GK1120" s="91"/>
      <c r="GL1120" s="91"/>
      <c r="GM1120" s="91"/>
      <c r="GN1120" s="91"/>
      <c r="GO1120" s="91"/>
      <c r="GP1120" s="91"/>
      <c r="GQ1120" s="91"/>
      <c r="GR1120" s="91"/>
      <c r="GS1120" s="91"/>
      <c r="GT1120" s="91"/>
      <c r="GU1120" s="91"/>
      <c r="GV1120" s="91"/>
      <c r="GW1120" s="91"/>
      <c r="GX1120" s="91"/>
      <c r="GY1120" s="91"/>
      <c r="GZ1120" s="91"/>
      <c r="HA1120" s="91"/>
      <c r="HB1120" s="91"/>
      <c r="HC1120" s="91"/>
      <c r="HD1120" s="91"/>
      <c r="HE1120" s="91"/>
      <c r="HF1120" s="91"/>
      <c r="HG1120" s="91"/>
      <c r="HH1120" s="91"/>
      <c r="HI1120" s="91"/>
      <c r="HJ1120" s="91"/>
      <c r="HK1120" s="91"/>
      <c r="HL1120" s="91"/>
      <c r="HM1120" s="91"/>
      <c r="HN1120" s="91"/>
      <c r="HO1120" s="91"/>
      <c r="HP1120" s="91"/>
      <c r="HQ1120" s="91"/>
      <c r="HR1120" s="91"/>
      <c r="HS1120" s="91"/>
      <c r="HT1120" s="91"/>
      <c r="HU1120" s="91"/>
      <c r="HV1120" s="91"/>
      <c r="HW1120" s="91"/>
      <c r="HX1120" s="91"/>
      <c r="HY1120" s="91"/>
      <c r="HZ1120" s="91"/>
      <c r="IA1120" s="91"/>
      <c r="IB1120" s="91"/>
      <c r="IC1120" s="91"/>
      <c r="ID1120" s="91"/>
      <c r="IE1120" s="91"/>
    </row>
    <row r="1121" spans="2:239" ht="15" x14ac:dyDescent="0.2">
      <c r="B1121" s="91"/>
      <c r="C1121" s="91"/>
      <c r="D1121" s="91"/>
      <c r="E1121" s="227"/>
      <c r="F1121" s="91"/>
      <c r="G1121" s="91"/>
      <c r="H1121" s="91"/>
      <c r="I1121" s="91"/>
      <c r="J1121" s="91"/>
      <c r="K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c r="FB1121" s="91"/>
      <c r="FC1121" s="91"/>
      <c r="FD1121" s="91"/>
      <c r="FE1121" s="91"/>
      <c r="FF1121" s="91"/>
      <c r="FG1121" s="91"/>
      <c r="FH1121" s="91"/>
      <c r="FI1121" s="91"/>
      <c r="FJ1121" s="91"/>
      <c r="FK1121" s="91"/>
      <c r="FL1121" s="91"/>
      <c r="FM1121" s="91"/>
      <c r="FN1121" s="91"/>
      <c r="FO1121" s="91"/>
      <c r="FP1121" s="91"/>
      <c r="FQ1121" s="91"/>
      <c r="FR1121" s="91"/>
      <c r="FS1121" s="91"/>
      <c r="FT1121" s="91"/>
      <c r="FU1121" s="91"/>
      <c r="FV1121" s="91"/>
      <c r="FW1121" s="91"/>
      <c r="FX1121" s="91"/>
      <c r="FY1121" s="91"/>
      <c r="FZ1121" s="91"/>
      <c r="GA1121" s="91"/>
      <c r="GB1121" s="91"/>
      <c r="GC1121" s="91"/>
      <c r="GD1121" s="91"/>
      <c r="GE1121" s="91"/>
      <c r="GF1121" s="91"/>
      <c r="GG1121" s="91"/>
      <c r="GH1121" s="91"/>
      <c r="GI1121" s="91"/>
      <c r="GJ1121" s="91"/>
      <c r="GK1121" s="91"/>
      <c r="GL1121" s="91"/>
      <c r="GM1121" s="91"/>
      <c r="GN1121" s="91"/>
      <c r="GO1121" s="91"/>
      <c r="GP1121" s="91"/>
      <c r="GQ1121" s="91"/>
      <c r="GR1121" s="91"/>
      <c r="GS1121" s="91"/>
      <c r="GT1121" s="91"/>
      <c r="GU1121" s="91"/>
      <c r="GV1121" s="91"/>
      <c r="GW1121" s="91"/>
      <c r="GX1121" s="91"/>
      <c r="GY1121" s="91"/>
      <c r="GZ1121" s="91"/>
      <c r="HA1121" s="91"/>
      <c r="HB1121" s="91"/>
      <c r="HC1121" s="91"/>
      <c r="HD1121" s="91"/>
      <c r="HE1121" s="91"/>
      <c r="HF1121" s="91"/>
      <c r="HG1121" s="91"/>
      <c r="HH1121" s="91"/>
      <c r="HI1121" s="91"/>
      <c r="HJ1121" s="91"/>
      <c r="HK1121" s="91"/>
      <c r="HL1121" s="91"/>
      <c r="HM1121" s="91"/>
      <c r="HN1121" s="91"/>
      <c r="HO1121" s="91"/>
      <c r="HP1121" s="91"/>
      <c r="HQ1121" s="91"/>
      <c r="HR1121" s="91"/>
      <c r="HS1121" s="91"/>
      <c r="HT1121" s="91"/>
      <c r="HU1121" s="91"/>
      <c r="HV1121" s="91"/>
      <c r="HW1121" s="91"/>
      <c r="HX1121" s="91"/>
      <c r="HY1121" s="91"/>
      <c r="HZ1121" s="91"/>
      <c r="IA1121" s="91"/>
      <c r="IB1121" s="91"/>
      <c r="IC1121" s="91"/>
      <c r="ID1121" s="91"/>
      <c r="IE1121" s="91"/>
    </row>
    <row r="1122" spans="2:239" ht="15" x14ac:dyDescent="0.2">
      <c r="B1122" s="91"/>
      <c r="C1122" s="91"/>
      <c r="D1122" s="91"/>
      <c r="E1122" s="227"/>
      <c r="F1122" s="91"/>
      <c r="G1122" s="91"/>
      <c r="H1122" s="91"/>
      <c r="I1122" s="91"/>
      <c r="J1122" s="91"/>
      <c r="K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c r="FB1122" s="91"/>
      <c r="FC1122" s="91"/>
      <c r="FD1122" s="91"/>
      <c r="FE1122" s="91"/>
      <c r="FF1122" s="91"/>
      <c r="FG1122" s="91"/>
      <c r="FH1122" s="91"/>
      <c r="FI1122" s="91"/>
      <c r="FJ1122" s="91"/>
      <c r="FK1122" s="91"/>
      <c r="FL1122" s="91"/>
      <c r="FM1122" s="91"/>
      <c r="FN1122" s="91"/>
      <c r="FO1122" s="91"/>
      <c r="FP1122" s="91"/>
      <c r="FQ1122" s="91"/>
      <c r="FR1122" s="91"/>
      <c r="FS1122" s="91"/>
      <c r="FT1122" s="91"/>
      <c r="FU1122" s="91"/>
      <c r="FV1122" s="91"/>
      <c r="FW1122" s="91"/>
      <c r="FX1122" s="91"/>
      <c r="FY1122" s="91"/>
      <c r="FZ1122" s="91"/>
      <c r="GA1122" s="91"/>
      <c r="GB1122" s="91"/>
      <c r="GC1122" s="91"/>
      <c r="GD1122" s="91"/>
      <c r="GE1122" s="91"/>
      <c r="GF1122" s="91"/>
      <c r="GG1122" s="91"/>
      <c r="GH1122" s="91"/>
      <c r="GI1122" s="91"/>
      <c r="GJ1122" s="91"/>
      <c r="GK1122" s="91"/>
      <c r="GL1122" s="91"/>
      <c r="GM1122" s="91"/>
      <c r="GN1122" s="91"/>
      <c r="GO1122" s="91"/>
      <c r="GP1122" s="91"/>
      <c r="GQ1122" s="91"/>
      <c r="GR1122" s="91"/>
      <c r="GS1122" s="91"/>
      <c r="GT1122" s="91"/>
      <c r="GU1122" s="91"/>
      <c r="GV1122" s="91"/>
      <c r="GW1122" s="91"/>
      <c r="GX1122" s="91"/>
      <c r="GY1122" s="91"/>
      <c r="GZ1122" s="91"/>
      <c r="HA1122" s="91"/>
      <c r="HB1122" s="91"/>
      <c r="HC1122" s="91"/>
      <c r="HD1122" s="91"/>
      <c r="HE1122" s="91"/>
      <c r="HF1122" s="91"/>
      <c r="HG1122" s="91"/>
      <c r="HH1122" s="91"/>
      <c r="HI1122" s="91"/>
      <c r="HJ1122" s="91"/>
      <c r="HK1122" s="91"/>
      <c r="HL1122" s="91"/>
      <c r="HM1122" s="91"/>
      <c r="HN1122" s="91"/>
      <c r="HO1122" s="91"/>
      <c r="HP1122" s="91"/>
      <c r="HQ1122" s="91"/>
      <c r="HR1122" s="91"/>
      <c r="HS1122" s="91"/>
      <c r="HT1122" s="91"/>
      <c r="HU1122" s="91"/>
      <c r="HV1122" s="91"/>
      <c r="HW1122" s="91"/>
      <c r="HX1122" s="91"/>
      <c r="HY1122" s="91"/>
      <c r="HZ1122" s="91"/>
      <c r="IA1122" s="91"/>
      <c r="IB1122" s="91"/>
      <c r="IC1122" s="91"/>
      <c r="ID1122" s="91"/>
      <c r="IE1122" s="91"/>
    </row>
    <row r="1123" spans="2:239" ht="15" x14ac:dyDescent="0.2">
      <c r="B1123" s="91"/>
      <c r="C1123" s="91"/>
      <c r="D1123" s="91"/>
      <c r="E1123" s="227"/>
      <c r="F1123" s="91"/>
      <c r="G1123" s="91"/>
      <c r="H1123" s="91"/>
      <c r="I1123" s="91"/>
      <c r="J1123" s="91"/>
      <c r="K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c r="FB1123" s="91"/>
      <c r="FC1123" s="91"/>
      <c r="FD1123" s="91"/>
      <c r="FE1123" s="91"/>
      <c r="FF1123" s="91"/>
      <c r="FG1123" s="91"/>
      <c r="FH1123" s="91"/>
      <c r="FI1123" s="91"/>
      <c r="FJ1123" s="91"/>
      <c r="FK1123" s="91"/>
      <c r="FL1123" s="91"/>
      <c r="FM1123" s="91"/>
      <c r="FN1123" s="91"/>
      <c r="FO1123" s="91"/>
      <c r="FP1123" s="91"/>
      <c r="FQ1123" s="91"/>
      <c r="FR1123" s="91"/>
      <c r="FS1123" s="91"/>
      <c r="FT1123" s="91"/>
      <c r="FU1123" s="91"/>
      <c r="FV1123" s="91"/>
      <c r="FW1123" s="91"/>
      <c r="FX1123" s="91"/>
      <c r="FY1123" s="91"/>
      <c r="FZ1123" s="91"/>
      <c r="GA1123" s="91"/>
      <c r="GB1123" s="91"/>
      <c r="GC1123" s="91"/>
      <c r="GD1123" s="91"/>
      <c r="GE1123" s="91"/>
      <c r="GF1123" s="91"/>
      <c r="GG1123" s="91"/>
      <c r="GH1123" s="91"/>
      <c r="GI1123" s="91"/>
      <c r="GJ1123" s="91"/>
      <c r="GK1123" s="91"/>
      <c r="GL1123" s="91"/>
      <c r="GM1123" s="91"/>
      <c r="GN1123" s="91"/>
      <c r="GO1123" s="91"/>
      <c r="GP1123" s="91"/>
      <c r="GQ1123" s="91"/>
      <c r="GR1123" s="91"/>
      <c r="GS1123" s="91"/>
      <c r="GT1123" s="91"/>
      <c r="GU1123" s="91"/>
      <c r="GV1123" s="91"/>
      <c r="GW1123" s="91"/>
      <c r="GX1123" s="91"/>
      <c r="GY1123" s="91"/>
      <c r="GZ1123" s="91"/>
      <c r="HA1123" s="91"/>
      <c r="HB1123" s="91"/>
      <c r="HC1123" s="91"/>
      <c r="HD1123" s="91"/>
      <c r="HE1123" s="91"/>
      <c r="HF1123" s="91"/>
      <c r="HG1123" s="91"/>
      <c r="HH1123" s="91"/>
      <c r="HI1123" s="91"/>
      <c r="HJ1123" s="91"/>
      <c r="HK1123" s="91"/>
      <c r="HL1123" s="91"/>
      <c r="HM1123" s="91"/>
      <c r="HN1123" s="91"/>
      <c r="HO1123" s="91"/>
      <c r="HP1123" s="91"/>
      <c r="HQ1123" s="91"/>
      <c r="HR1123" s="91"/>
      <c r="HS1123" s="91"/>
      <c r="HT1123" s="91"/>
      <c r="HU1123" s="91"/>
      <c r="HV1123" s="91"/>
      <c r="HW1123" s="91"/>
      <c r="HX1123" s="91"/>
      <c r="HY1123" s="91"/>
      <c r="HZ1123" s="91"/>
      <c r="IA1123" s="91"/>
      <c r="IB1123" s="91"/>
      <c r="IC1123" s="91"/>
      <c r="ID1123" s="91"/>
      <c r="IE1123" s="91"/>
    </row>
    <row r="1124" spans="2:239" ht="15" x14ac:dyDescent="0.2">
      <c r="B1124" s="91"/>
      <c r="C1124" s="91"/>
      <c r="D1124" s="91"/>
      <c r="E1124" s="227"/>
      <c r="F1124" s="91"/>
      <c r="G1124" s="91"/>
      <c r="H1124" s="91"/>
      <c r="I1124" s="91"/>
      <c r="J1124" s="91"/>
      <c r="K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c r="FB1124" s="91"/>
      <c r="FC1124" s="91"/>
      <c r="FD1124" s="91"/>
      <c r="FE1124" s="91"/>
      <c r="FF1124" s="91"/>
      <c r="FG1124" s="91"/>
      <c r="FH1124" s="91"/>
      <c r="FI1124" s="91"/>
      <c r="FJ1124" s="91"/>
      <c r="FK1124" s="91"/>
      <c r="FL1124" s="91"/>
      <c r="FM1124" s="91"/>
      <c r="FN1124" s="91"/>
      <c r="FO1124" s="91"/>
      <c r="FP1124" s="91"/>
      <c r="FQ1124" s="91"/>
      <c r="FR1124" s="91"/>
      <c r="FS1124" s="91"/>
      <c r="FT1124" s="91"/>
      <c r="FU1124" s="91"/>
      <c r="FV1124" s="91"/>
      <c r="FW1124" s="91"/>
      <c r="FX1124" s="91"/>
      <c r="FY1124" s="91"/>
      <c r="FZ1124" s="91"/>
      <c r="GA1124" s="91"/>
      <c r="GB1124" s="91"/>
      <c r="GC1124" s="91"/>
      <c r="GD1124" s="91"/>
      <c r="GE1124" s="91"/>
      <c r="GF1124" s="91"/>
      <c r="GG1124" s="91"/>
      <c r="GH1124" s="91"/>
      <c r="GI1124" s="91"/>
      <c r="GJ1124" s="91"/>
      <c r="GK1124" s="91"/>
      <c r="GL1124" s="91"/>
      <c r="GM1124" s="91"/>
      <c r="GN1124" s="91"/>
      <c r="GO1124" s="91"/>
      <c r="GP1124" s="91"/>
      <c r="GQ1124" s="91"/>
      <c r="GR1124" s="91"/>
      <c r="GS1124" s="91"/>
      <c r="GT1124" s="91"/>
      <c r="GU1124" s="91"/>
      <c r="GV1124" s="91"/>
      <c r="GW1124" s="91"/>
      <c r="GX1124" s="91"/>
      <c r="GY1124" s="91"/>
      <c r="GZ1124" s="91"/>
      <c r="HA1124" s="91"/>
      <c r="HB1124" s="91"/>
      <c r="HC1124" s="91"/>
      <c r="HD1124" s="91"/>
      <c r="HE1124" s="91"/>
      <c r="HF1124" s="91"/>
      <c r="HG1124" s="91"/>
      <c r="HH1124" s="91"/>
      <c r="HI1124" s="91"/>
      <c r="HJ1124" s="91"/>
      <c r="HK1124" s="91"/>
      <c r="HL1124" s="91"/>
      <c r="HM1124" s="91"/>
      <c r="HN1124" s="91"/>
      <c r="HO1124" s="91"/>
      <c r="HP1124" s="91"/>
      <c r="HQ1124" s="91"/>
      <c r="HR1124" s="91"/>
      <c r="HS1124" s="91"/>
      <c r="HT1124" s="91"/>
      <c r="HU1124" s="91"/>
      <c r="HV1124" s="91"/>
      <c r="HW1124" s="91"/>
      <c r="HX1124" s="91"/>
      <c r="HY1124" s="91"/>
      <c r="HZ1124" s="91"/>
      <c r="IA1124" s="91"/>
      <c r="IB1124" s="91"/>
      <c r="IC1124" s="91"/>
      <c r="ID1124" s="91"/>
      <c r="IE1124" s="91"/>
    </row>
    <row r="1125" spans="2:239" ht="15" x14ac:dyDescent="0.2">
      <c r="B1125" s="91"/>
      <c r="C1125" s="91"/>
      <c r="D1125" s="91"/>
      <c r="E1125" s="227"/>
      <c r="F1125" s="91"/>
      <c r="G1125" s="91"/>
      <c r="H1125" s="91"/>
      <c r="I1125" s="91"/>
      <c r="J1125" s="91"/>
      <c r="K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c r="FB1125" s="91"/>
      <c r="FC1125" s="91"/>
      <c r="FD1125" s="91"/>
      <c r="FE1125" s="91"/>
      <c r="FF1125" s="91"/>
      <c r="FG1125" s="91"/>
      <c r="FH1125" s="91"/>
      <c r="FI1125" s="91"/>
      <c r="FJ1125" s="91"/>
      <c r="FK1125" s="91"/>
      <c r="FL1125" s="91"/>
      <c r="FM1125" s="91"/>
      <c r="FN1125" s="91"/>
      <c r="FO1125" s="91"/>
      <c r="FP1125" s="91"/>
      <c r="FQ1125" s="91"/>
      <c r="FR1125" s="91"/>
      <c r="FS1125" s="91"/>
      <c r="FT1125" s="91"/>
      <c r="FU1125" s="91"/>
      <c r="FV1125" s="91"/>
      <c r="FW1125" s="91"/>
      <c r="FX1125" s="91"/>
      <c r="FY1125" s="91"/>
      <c r="FZ1125" s="91"/>
      <c r="GA1125" s="91"/>
      <c r="GB1125" s="91"/>
      <c r="GC1125" s="91"/>
      <c r="GD1125" s="91"/>
      <c r="GE1125" s="91"/>
      <c r="GF1125" s="91"/>
      <c r="GG1125" s="91"/>
      <c r="GH1125" s="91"/>
      <c r="GI1125" s="91"/>
      <c r="GJ1125" s="91"/>
      <c r="GK1125" s="91"/>
      <c r="GL1125" s="91"/>
      <c r="GM1125" s="91"/>
      <c r="GN1125" s="91"/>
      <c r="GO1125" s="91"/>
      <c r="GP1125" s="91"/>
      <c r="GQ1125" s="91"/>
      <c r="GR1125" s="91"/>
      <c r="GS1125" s="91"/>
      <c r="GT1125" s="91"/>
      <c r="GU1125" s="91"/>
      <c r="GV1125" s="91"/>
      <c r="GW1125" s="91"/>
      <c r="GX1125" s="91"/>
      <c r="GY1125" s="91"/>
      <c r="GZ1125" s="91"/>
      <c r="HA1125" s="91"/>
      <c r="HB1125" s="91"/>
      <c r="HC1125" s="91"/>
      <c r="HD1125" s="91"/>
      <c r="HE1125" s="91"/>
      <c r="HF1125" s="91"/>
      <c r="HG1125" s="91"/>
      <c r="HH1125" s="91"/>
      <c r="HI1125" s="91"/>
      <c r="HJ1125" s="91"/>
      <c r="HK1125" s="91"/>
      <c r="HL1125" s="91"/>
      <c r="HM1125" s="91"/>
      <c r="HN1125" s="91"/>
      <c r="HO1125" s="91"/>
      <c r="HP1125" s="91"/>
      <c r="HQ1125" s="91"/>
      <c r="HR1125" s="91"/>
      <c r="HS1125" s="91"/>
      <c r="HT1125" s="91"/>
      <c r="HU1125" s="91"/>
      <c r="HV1125" s="91"/>
      <c r="HW1125" s="91"/>
      <c r="HX1125" s="91"/>
      <c r="HY1125" s="91"/>
      <c r="HZ1125" s="91"/>
      <c r="IA1125" s="91"/>
      <c r="IB1125" s="91"/>
      <c r="IC1125" s="91"/>
      <c r="ID1125" s="91"/>
      <c r="IE1125" s="91"/>
    </row>
    <row r="1126" spans="2:239" ht="15" x14ac:dyDescent="0.2">
      <c r="B1126" s="91"/>
      <c r="C1126" s="91"/>
      <c r="D1126" s="91"/>
      <c r="E1126" s="227"/>
      <c r="F1126" s="91"/>
      <c r="G1126" s="91"/>
      <c r="H1126" s="91"/>
      <c r="I1126" s="91"/>
      <c r="J1126" s="91"/>
      <c r="K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c r="FB1126" s="91"/>
      <c r="FC1126" s="91"/>
      <c r="FD1126" s="91"/>
      <c r="FE1126" s="91"/>
      <c r="FF1126" s="91"/>
      <c r="FG1126" s="91"/>
      <c r="FH1126" s="91"/>
      <c r="FI1126" s="91"/>
      <c r="FJ1126" s="91"/>
      <c r="FK1126" s="91"/>
      <c r="FL1126" s="91"/>
      <c r="FM1126" s="91"/>
      <c r="FN1126" s="91"/>
      <c r="FO1126" s="91"/>
      <c r="FP1126" s="91"/>
      <c r="FQ1126" s="91"/>
      <c r="FR1126" s="91"/>
      <c r="FS1126" s="91"/>
      <c r="FT1126" s="91"/>
      <c r="FU1126" s="91"/>
      <c r="FV1126" s="91"/>
      <c r="FW1126" s="91"/>
      <c r="FX1126" s="91"/>
      <c r="FY1126" s="91"/>
      <c r="FZ1126" s="91"/>
      <c r="GA1126" s="91"/>
      <c r="GB1126" s="91"/>
      <c r="GC1126" s="91"/>
      <c r="GD1126" s="91"/>
      <c r="GE1126" s="91"/>
      <c r="GF1126" s="91"/>
      <c r="GG1126" s="91"/>
      <c r="GH1126" s="91"/>
      <c r="GI1126" s="91"/>
      <c r="GJ1126" s="91"/>
      <c r="GK1126" s="91"/>
      <c r="GL1126" s="91"/>
      <c r="GM1126" s="91"/>
      <c r="GN1126" s="91"/>
      <c r="GO1126" s="91"/>
      <c r="GP1126" s="91"/>
      <c r="GQ1126" s="91"/>
      <c r="GR1126" s="91"/>
      <c r="GS1126" s="91"/>
      <c r="GT1126" s="91"/>
      <c r="GU1126" s="91"/>
      <c r="GV1126" s="91"/>
      <c r="GW1126" s="91"/>
      <c r="GX1126" s="91"/>
      <c r="GY1126" s="91"/>
      <c r="GZ1126" s="91"/>
      <c r="HA1126" s="91"/>
      <c r="HB1126" s="91"/>
      <c r="HC1126" s="91"/>
      <c r="HD1126" s="91"/>
      <c r="HE1126" s="91"/>
      <c r="HF1126" s="91"/>
      <c r="HG1126" s="91"/>
      <c r="HH1126" s="91"/>
      <c r="HI1126" s="91"/>
      <c r="HJ1126" s="91"/>
      <c r="HK1126" s="91"/>
      <c r="HL1126" s="91"/>
      <c r="HM1126" s="91"/>
      <c r="HN1126" s="91"/>
      <c r="HO1126" s="91"/>
      <c r="HP1126" s="91"/>
      <c r="HQ1126" s="91"/>
      <c r="HR1126" s="91"/>
      <c r="HS1126" s="91"/>
      <c r="HT1126" s="91"/>
      <c r="HU1126" s="91"/>
      <c r="HV1126" s="91"/>
      <c r="HW1126" s="91"/>
      <c r="HX1126" s="91"/>
      <c r="HY1126" s="91"/>
      <c r="HZ1126" s="91"/>
      <c r="IA1126" s="91"/>
      <c r="IB1126" s="91"/>
      <c r="IC1126" s="91"/>
      <c r="ID1126" s="91"/>
      <c r="IE1126" s="91"/>
    </row>
    <row r="1127" spans="2:239" ht="15" x14ac:dyDescent="0.2">
      <c r="B1127" s="91"/>
      <c r="C1127" s="91"/>
      <c r="D1127" s="91"/>
      <c r="E1127" s="227"/>
      <c r="F1127" s="91"/>
      <c r="G1127" s="91"/>
      <c r="H1127" s="91"/>
      <c r="I1127" s="91"/>
      <c r="J1127" s="91"/>
      <c r="K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c r="FB1127" s="91"/>
      <c r="FC1127" s="91"/>
      <c r="FD1127" s="91"/>
      <c r="FE1127" s="91"/>
      <c r="FF1127" s="91"/>
      <c r="FG1127" s="91"/>
      <c r="FH1127" s="91"/>
      <c r="FI1127" s="91"/>
      <c r="FJ1127" s="91"/>
      <c r="FK1127" s="91"/>
      <c r="FL1127" s="91"/>
      <c r="FM1127" s="91"/>
      <c r="FN1127" s="91"/>
      <c r="FO1127" s="91"/>
      <c r="FP1127" s="91"/>
      <c r="FQ1127" s="91"/>
      <c r="FR1127" s="91"/>
      <c r="FS1127" s="91"/>
      <c r="FT1127" s="91"/>
      <c r="FU1127" s="91"/>
      <c r="FV1127" s="91"/>
      <c r="FW1127" s="91"/>
      <c r="FX1127" s="91"/>
      <c r="FY1127" s="91"/>
      <c r="FZ1127" s="91"/>
      <c r="GA1127" s="91"/>
      <c r="GB1127" s="91"/>
      <c r="GC1127" s="91"/>
      <c r="GD1127" s="91"/>
      <c r="GE1127" s="91"/>
      <c r="GF1127" s="91"/>
      <c r="GG1127" s="91"/>
      <c r="GH1127" s="91"/>
      <c r="GI1127" s="91"/>
      <c r="GJ1127" s="91"/>
      <c r="GK1127" s="91"/>
      <c r="GL1127" s="91"/>
      <c r="GM1127" s="91"/>
      <c r="GN1127" s="91"/>
      <c r="GO1127" s="91"/>
      <c r="GP1127" s="91"/>
      <c r="GQ1127" s="91"/>
      <c r="GR1127" s="91"/>
      <c r="GS1127" s="91"/>
      <c r="GT1127" s="91"/>
      <c r="GU1127" s="91"/>
      <c r="GV1127" s="91"/>
      <c r="GW1127" s="91"/>
      <c r="GX1127" s="91"/>
      <c r="GY1127" s="91"/>
      <c r="GZ1127" s="91"/>
      <c r="HA1127" s="91"/>
      <c r="HB1127" s="91"/>
      <c r="HC1127" s="91"/>
      <c r="HD1127" s="91"/>
      <c r="HE1127" s="91"/>
      <c r="HF1127" s="91"/>
      <c r="HG1127" s="91"/>
      <c r="HH1127" s="91"/>
      <c r="HI1127" s="91"/>
      <c r="HJ1127" s="91"/>
      <c r="HK1127" s="91"/>
      <c r="HL1127" s="91"/>
      <c r="HM1127" s="91"/>
      <c r="HN1127" s="91"/>
      <c r="HO1127" s="91"/>
      <c r="HP1127" s="91"/>
      <c r="HQ1127" s="91"/>
      <c r="HR1127" s="91"/>
      <c r="HS1127" s="91"/>
      <c r="HT1127" s="91"/>
      <c r="HU1127" s="91"/>
      <c r="HV1127" s="91"/>
      <c r="HW1127" s="91"/>
      <c r="HX1127" s="91"/>
      <c r="HY1127" s="91"/>
      <c r="HZ1127" s="91"/>
      <c r="IA1127" s="91"/>
      <c r="IB1127" s="91"/>
      <c r="IC1127" s="91"/>
      <c r="ID1127" s="91"/>
      <c r="IE1127" s="91"/>
    </row>
    <row r="1128" spans="2:239" ht="15" x14ac:dyDescent="0.2">
      <c r="B1128" s="91"/>
      <c r="C1128" s="91"/>
      <c r="D1128" s="91"/>
      <c r="E1128" s="227"/>
      <c r="F1128" s="91"/>
      <c r="G1128" s="91"/>
      <c r="H1128" s="91"/>
      <c r="I1128" s="91"/>
      <c r="J1128" s="91"/>
      <c r="K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c r="FB1128" s="91"/>
      <c r="FC1128" s="91"/>
      <c r="FD1128" s="91"/>
      <c r="FE1128" s="91"/>
      <c r="FF1128" s="91"/>
      <c r="FG1128" s="91"/>
      <c r="FH1128" s="91"/>
      <c r="FI1128" s="91"/>
      <c r="FJ1128" s="91"/>
      <c r="FK1128" s="91"/>
      <c r="FL1128" s="91"/>
      <c r="FM1128" s="91"/>
      <c r="FN1128" s="91"/>
      <c r="FO1128" s="91"/>
      <c r="FP1128" s="91"/>
      <c r="FQ1128" s="91"/>
      <c r="FR1128" s="91"/>
      <c r="FS1128" s="91"/>
      <c r="FT1128" s="91"/>
      <c r="FU1128" s="91"/>
      <c r="FV1128" s="91"/>
      <c r="FW1128" s="91"/>
      <c r="FX1128" s="91"/>
      <c r="FY1128" s="91"/>
      <c r="FZ1128" s="91"/>
      <c r="GA1128" s="91"/>
      <c r="GB1128" s="91"/>
      <c r="GC1128" s="91"/>
      <c r="GD1128" s="91"/>
      <c r="GE1128" s="91"/>
      <c r="GF1128" s="91"/>
      <c r="GG1128" s="91"/>
      <c r="GH1128" s="91"/>
      <c r="GI1128" s="91"/>
      <c r="GJ1128" s="91"/>
      <c r="GK1128" s="91"/>
      <c r="GL1128" s="91"/>
      <c r="GM1128" s="91"/>
      <c r="GN1128" s="91"/>
      <c r="GO1128" s="91"/>
      <c r="GP1128" s="91"/>
      <c r="GQ1128" s="91"/>
      <c r="GR1128" s="91"/>
      <c r="GS1128" s="91"/>
      <c r="GT1128" s="91"/>
      <c r="GU1128" s="91"/>
      <c r="GV1128" s="91"/>
      <c r="GW1128" s="91"/>
      <c r="GX1128" s="91"/>
      <c r="GY1128" s="91"/>
      <c r="GZ1128" s="91"/>
      <c r="HA1128" s="91"/>
      <c r="HB1128" s="91"/>
      <c r="HC1128" s="91"/>
      <c r="HD1128" s="91"/>
      <c r="HE1128" s="91"/>
      <c r="HF1128" s="91"/>
      <c r="HG1128" s="91"/>
      <c r="HH1128" s="91"/>
      <c r="HI1128" s="91"/>
      <c r="HJ1128" s="91"/>
      <c r="HK1128" s="91"/>
      <c r="HL1128" s="91"/>
      <c r="HM1128" s="91"/>
      <c r="HN1128" s="91"/>
      <c r="HO1128" s="91"/>
      <c r="HP1128" s="91"/>
      <c r="HQ1128" s="91"/>
      <c r="HR1128" s="91"/>
      <c r="HS1128" s="91"/>
      <c r="HT1128" s="91"/>
      <c r="HU1128" s="91"/>
      <c r="HV1128" s="91"/>
      <c r="HW1128" s="91"/>
      <c r="HX1128" s="91"/>
      <c r="HY1128" s="91"/>
      <c r="HZ1128" s="91"/>
      <c r="IA1128" s="91"/>
      <c r="IB1128" s="91"/>
      <c r="IC1128" s="91"/>
      <c r="ID1128" s="91"/>
      <c r="IE1128" s="91"/>
    </row>
    <row r="1129" spans="2:239" ht="15" x14ac:dyDescent="0.2">
      <c r="B1129" s="91"/>
      <c r="C1129" s="91"/>
      <c r="D1129" s="91"/>
      <c r="E1129" s="227"/>
      <c r="F1129" s="91"/>
      <c r="G1129" s="91"/>
      <c r="H1129" s="91"/>
      <c r="I1129" s="91"/>
      <c r="J1129" s="91"/>
      <c r="K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c r="FB1129" s="91"/>
      <c r="FC1129" s="91"/>
      <c r="FD1129" s="91"/>
      <c r="FE1129" s="91"/>
      <c r="FF1129" s="91"/>
      <c r="FG1129" s="91"/>
      <c r="FH1129" s="91"/>
      <c r="FI1129" s="91"/>
      <c r="FJ1129" s="91"/>
      <c r="FK1129" s="91"/>
      <c r="FL1129" s="91"/>
      <c r="FM1129" s="91"/>
      <c r="FN1129" s="91"/>
      <c r="FO1129" s="91"/>
      <c r="FP1129" s="91"/>
      <c r="FQ1129" s="91"/>
      <c r="FR1129" s="91"/>
      <c r="FS1129" s="91"/>
      <c r="FT1129" s="91"/>
      <c r="FU1129" s="91"/>
      <c r="FV1129" s="91"/>
      <c r="FW1129" s="91"/>
      <c r="FX1129" s="91"/>
      <c r="FY1129" s="91"/>
      <c r="FZ1129" s="91"/>
      <c r="GA1129" s="91"/>
      <c r="GB1129" s="91"/>
      <c r="GC1129" s="91"/>
      <c r="GD1129" s="91"/>
      <c r="GE1129" s="91"/>
      <c r="GF1129" s="91"/>
      <c r="GG1129" s="91"/>
      <c r="GH1129" s="91"/>
      <c r="GI1129" s="91"/>
      <c r="GJ1129" s="91"/>
      <c r="GK1129" s="91"/>
      <c r="GL1129" s="91"/>
      <c r="GM1129" s="91"/>
      <c r="GN1129" s="91"/>
      <c r="GO1129" s="91"/>
      <c r="GP1129" s="91"/>
      <c r="GQ1129" s="91"/>
      <c r="GR1129" s="91"/>
      <c r="GS1129" s="91"/>
      <c r="GT1129" s="91"/>
      <c r="GU1129" s="91"/>
      <c r="GV1129" s="91"/>
      <c r="GW1129" s="91"/>
      <c r="GX1129" s="91"/>
      <c r="GY1129" s="91"/>
      <c r="GZ1129" s="91"/>
      <c r="HA1129" s="91"/>
      <c r="HB1129" s="91"/>
      <c r="HC1129" s="91"/>
      <c r="HD1129" s="91"/>
      <c r="HE1129" s="91"/>
      <c r="HF1129" s="91"/>
      <c r="HG1129" s="91"/>
      <c r="HH1129" s="91"/>
      <c r="HI1129" s="91"/>
      <c r="HJ1129" s="91"/>
      <c r="HK1129" s="91"/>
      <c r="HL1129" s="91"/>
      <c r="HM1129" s="91"/>
      <c r="HN1129" s="91"/>
      <c r="HO1129" s="91"/>
      <c r="HP1129" s="91"/>
      <c r="HQ1129" s="91"/>
      <c r="HR1129" s="91"/>
      <c r="HS1129" s="91"/>
      <c r="HT1129" s="91"/>
      <c r="HU1129" s="91"/>
      <c r="HV1129" s="91"/>
      <c r="HW1129" s="91"/>
      <c r="HX1129" s="91"/>
      <c r="HY1129" s="91"/>
      <c r="HZ1129" s="91"/>
      <c r="IA1129" s="91"/>
      <c r="IB1129" s="91"/>
      <c r="IC1129" s="91"/>
      <c r="ID1129" s="91"/>
      <c r="IE1129" s="91"/>
    </row>
    <row r="1130" spans="2:239" ht="15" x14ac:dyDescent="0.2">
      <c r="B1130" s="91"/>
      <c r="C1130" s="91"/>
      <c r="D1130" s="91"/>
      <c r="E1130" s="227"/>
      <c r="F1130" s="91"/>
      <c r="G1130" s="91"/>
      <c r="H1130" s="91"/>
      <c r="I1130" s="91"/>
      <c r="J1130" s="91"/>
      <c r="K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c r="FB1130" s="91"/>
      <c r="FC1130" s="91"/>
      <c r="FD1130" s="91"/>
      <c r="FE1130" s="91"/>
      <c r="FF1130" s="91"/>
      <c r="FG1130" s="91"/>
      <c r="FH1130" s="91"/>
      <c r="FI1130" s="91"/>
      <c r="FJ1130" s="91"/>
      <c r="FK1130" s="91"/>
      <c r="FL1130" s="91"/>
      <c r="FM1130" s="91"/>
      <c r="FN1130" s="91"/>
      <c r="FO1130" s="91"/>
      <c r="FP1130" s="91"/>
      <c r="FQ1130" s="91"/>
      <c r="FR1130" s="91"/>
      <c r="FS1130" s="91"/>
      <c r="FT1130" s="91"/>
      <c r="FU1130" s="91"/>
      <c r="FV1130" s="91"/>
      <c r="FW1130" s="91"/>
      <c r="FX1130" s="91"/>
      <c r="FY1130" s="91"/>
      <c r="FZ1130" s="91"/>
      <c r="GA1130" s="91"/>
      <c r="GB1130" s="91"/>
      <c r="GC1130" s="91"/>
      <c r="GD1130" s="91"/>
      <c r="GE1130" s="91"/>
      <c r="GF1130" s="91"/>
      <c r="GG1130" s="91"/>
      <c r="GH1130" s="91"/>
      <c r="GI1130" s="91"/>
      <c r="GJ1130" s="91"/>
      <c r="GK1130" s="91"/>
      <c r="GL1130" s="91"/>
      <c r="GM1130" s="91"/>
      <c r="GN1130" s="91"/>
      <c r="GO1130" s="91"/>
      <c r="GP1130" s="91"/>
      <c r="GQ1130" s="91"/>
      <c r="GR1130" s="91"/>
      <c r="GS1130" s="91"/>
      <c r="GT1130" s="91"/>
      <c r="GU1130" s="91"/>
      <c r="GV1130" s="91"/>
      <c r="GW1130" s="91"/>
      <c r="GX1130" s="91"/>
      <c r="GY1130" s="91"/>
      <c r="GZ1130" s="91"/>
      <c r="HA1130" s="91"/>
      <c r="HB1130" s="91"/>
      <c r="HC1130" s="91"/>
      <c r="HD1130" s="91"/>
      <c r="HE1130" s="91"/>
      <c r="HF1130" s="91"/>
      <c r="HG1130" s="91"/>
      <c r="HH1130" s="91"/>
      <c r="HI1130" s="91"/>
      <c r="HJ1130" s="91"/>
      <c r="HK1130" s="91"/>
      <c r="HL1130" s="91"/>
      <c r="HM1130" s="91"/>
      <c r="HN1130" s="91"/>
      <c r="HO1130" s="91"/>
      <c r="HP1130" s="91"/>
      <c r="HQ1130" s="91"/>
      <c r="HR1130" s="91"/>
      <c r="HS1130" s="91"/>
      <c r="HT1130" s="91"/>
      <c r="HU1130" s="91"/>
      <c r="HV1130" s="91"/>
      <c r="HW1130" s="91"/>
      <c r="HX1130" s="91"/>
      <c r="HY1130" s="91"/>
      <c r="HZ1130" s="91"/>
      <c r="IA1130" s="91"/>
      <c r="IB1130" s="91"/>
      <c r="IC1130" s="91"/>
      <c r="ID1130" s="91"/>
      <c r="IE1130" s="91"/>
    </row>
    <row r="1131" spans="2:239" ht="15" x14ac:dyDescent="0.2">
      <c r="B1131" s="91"/>
      <c r="C1131" s="91"/>
      <c r="D1131" s="91"/>
      <c r="E1131" s="227"/>
      <c r="F1131" s="91"/>
      <c r="G1131" s="91"/>
      <c r="H1131" s="91"/>
      <c r="I1131" s="91"/>
      <c r="J1131" s="91"/>
      <c r="K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c r="FB1131" s="91"/>
      <c r="FC1131" s="91"/>
      <c r="FD1131" s="91"/>
      <c r="FE1131" s="91"/>
      <c r="FF1131" s="91"/>
      <c r="FG1131" s="91"/>
      <c r="FH1131" s="91"/>
      <c r="FI1131" s="91"/>
      <c r="FJ1131" s="91"/>
      <c r="FK1131" s="91"/>
      <c r="FL1131" s="91"/>
      <c r="FM1131" s="91"/>
      <c r="FN1131" s="91"/>
      <c r="FO1131" s="91"/>
      <c r="FP1131" s="91"/>
      <c r="FQ1131" s="91"/>
      <c r="FR1131" s="91"/>
      <c r="FS1131" s="91"/>
      <c r="FT1131" s="91"/>
      <c r="FU1131" s="91"/>
      <c r="FV1131" s="91"/>
      <c r="FW1131" s="91"/>
      <c r="FX1131" s="91"/>
      <c r="FY1131" s="91"/>
      <c r="FZ1131" s="91"/>
      <c r="GA1131" s="91"/>
      <c r="GB1131" s="91"/>
      <c r="GC1131" s="91"/>
      <c r="GD1131" s="91"/>
      <c r="GE1131" s="91"/>
      <c r="GF1131" s="91"/>
      <c r="GG1131" s="91"/>
      <c r="GH1131" s="91"/>
      <c r="GI1131" s="91"/>
      <c r="GJ1131" s="91"/>
      <c r="GK1131" s="91"/>
      <c r="GL1131" s="91"/>
      <c r="GM1131" s="91"/>
      <c r="GN1131" s="91"/>
      <c r="GO1131" s="91"/>
      <c r="GP1131" s="91"/>
      <c r="GQ1131" s="91"/>
      <c r="GR1131" s="91"/>
      <c r="GS1131" s="91"/>
      <c r="GT1131" s="91"/>
      <c r="GU1131" s="91"/>
      <c r="GV1131" s="91"/>
      <c r="GW1131" s="91"/>
      <c r="GX1131" s="91"/>
      <c r="GY1131" s="91"/>
      <c r="GZ1131" s="91"/>
      <c r="HA1131" s="91"/>
      <c r="HB1131" s="91"/>
      <c r="HC1131" s="91"/>
      <c r="HD1131" s="91"/>
      <c r="HE1131" s="91"/>
      <c r="HF1131" s="91"/>
      <c r="HG1131" s="91"/>
      <c r="HH1131" s="91"/>
      <c r="HI1131" s="91"/>
      <c r="HJ1131" s="91"/>
      <c r="HK1131" s="91"/>
      <c r="HL1131" s="91"/>
      <c r="HM1131" s="91"/>
      <c r="HN1131" s="91"/>
      <c r="HO1131" s="91"/>
      <c r="HP1131" s="91"/>
      <c r="HQ1131" s="91"/>
      <c r="HR1131" s="91"/>
      <c r="HS1131" s="91"/>
      <c r="HT1131" s="91"/>
      <c r="HU1131" s="91"/>
      <c r="HV1131" s="91"/>
      <c r="HW1131" s="91"/>
      <c r="HX1131" s="91"/>
      <c r="HY1131" s="91"/>
      <c r="HZ1131" s="91"/>
      <c r="IA1131" s="91"/>
      <c r="IB1131" s="91"/>
      <c r="IC1131" s="91"/>
      <c r="ID1131" s="91"/>
      <c r="IE1131" s="91"/>
    </row>
    <row r="1132" spans="2:239" ht="15" x14ac:dyDescent="0.2">
      <c r="B1132" s="91"/>
      <c r="C1132" s="91"/>
      <c r="D1132" s="91"/>
      <c r="E1132" s="227"/>
      <c r="F1132" s="91"/>
      <c r="G1132" s="91"/>
      <c r="H1132" s="91"/>
      <c r="I1132" s="91"/>
      <c r="J1132" s="91"/>
      <c r="K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c r="FG1132" s="91"/>
      <c r="FH1132" s="91"/>
      <c r="FI1132" s="91"/>
      <c r="FJ1132" s="91"/>
      <c r="FK1132" s="91"/>
      <c r="FL1132" s="91"/>
      <c r="FM1132" s="91"/>
      <c r="FN1132" s="91"/>
      <c r="FO1132" s="91"/>
      <c r="FP1132" s="91"/>
      <c r="FQ1132" s="91"/>
      <c r="FR1132" s="91"/>
      <c r="FS1132" s="91"/>
      <c r="FT1132" s="91"/>
      <c r="FU1132" s="91"/>
      <c r="FV1132" s="91"/>
      <c r="FW1132" s="91"/>
      <c r="FX1132" s="91"/>
      <c r="FY1132" s="91"/>
      <c r="FZ1132" s="91"/>
      <c r="GA1132" s="91"/>
      <c r="GB1132" s="91"/>
      <c r="GC1132" s="91"/>
      <c r="GD1132" s="91"/>
      <c r="GE1132" s="91"/>
      <c r="GF1132" s="91"/>
      <c r="GG1132" s="91"/>
      <c r="GH1132" s="91"/>
      <c r="GI1132" s="91"/>
      <c r="GJ1132" s="91"/>
      <c r="GK1132" s="91"/>
      <c r="GL1132" s="91"/>
      <c r="GM1132" s="91"/>
      <c r="GN1132" s="91"/>
      <c r="GO1132" s="91"/>
      <c r="GP1132" s="91"/>
      <c r="GQ1132" s="91"/>
      <c r="GR1132" s="91"/>
      <c r="GS1132" s="91"/>
      <c r="GT1132" s="91"/>
      <c r="GU1132" s="91"/>
      <c r="GV1132" s="91"/>
      <c r="GW1132" s="91"/>
      <c r="GX1132" s="91"/>
      <c r="GY1132" s="91"/>
      <c r="GZ1132" s="91"/>
      <c r="HA1132" s="91"/>
      <c r="HB1132" s="91"/>
      <c r="HC1132" s="91"/>
      <c r="HD1132" s="91"/>
      <c r="HE1132" s="91"/>
      <c r="HF1132" s="91"/>
      <c r="HG1132" s="91"/>
      <c r="HH1132" s="91"/>
      <c r="HI1132" s="91"/>
      <c r="HJ1132" s="91"/>
      <c r="HK1132" s="91"/>
      <c r="HL1132" s="91"/>
      <c r="HM1132" s="91"/>
      <c r="HN1132" s="91"/>
      <c r="HO1132" s="91"/>
      <c r="HP1132" s="91"/>
      <c r="HQ1132" s="91"/>
      <c r="HR1132" s="91"/>
      <c r="HS1132" s="91"/>
      <c r="HT1132" s="91"/>
      <c r="HU1132" s="91"/>
      <c r="HV1132" s="91"/>
      <c r="HW1132" s="91"/>
      <c r="HX1132" s="91"/>
      <c r="HY1132" s="91"/>
      <c r="HZ1132" s="91"/>
      <c r="IA1132" s="91"/>
      <c r="IB1132" s="91"/>
      <c r="IC1132" s="91"/>
      <c r="ID1132" s="91"/>
      <c r="IE1132" s="91"/>
    </row>
    <row r="1133" spans="2:239" ht="15" x14ac:dyDescent="0.2">
      <c r="B1133" s="91"/>
      <c r="C1133" s="91"/>
      <c r="D1133" s="91"/>
      <c r="E1133" s="227"/>
      <c r="F1133" s="91"/>
      <c r="G1133" s="91"/>
      <c r="H1133" s="91"/>
      <c r="I1133" s="91"/>
      <c r="J1133" s="91"/>
      <c r="K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c r="FB1133" s="91"/>
      <c r="FC1133" s="91"/>
      <c r="FD1133" s="91"/>
      <c r="FE1133" s="91"/>
      <c r="FF1133" s="91"/>
      <c r="FG1133" s="91"/>
      <c r="FH1133" s="91"/>
      <c r="FI1133" s="91"/>
      <c r="FJ1133" s="91"/>
      <c r="FK1133" s="91"/>
      <c r="FL1133" s="91"/>
      <c r="FM1133" s="91"/>
      <c r="FN1133" s="91"/>
      <c r="FO1133" s="91"/>
      <c r="FP1133" s="91"/>
      <c r="FQ1133" s="91"/>
      <c r="FR1133" s="91"/>
      <c r="FS1133" s="91"/>
      <c r="FT1133" s="91"/>
      <c r="FU1133" s="91"/>
      <c r="FV1133" s="91"/>
      <c r="FW1133" s="91"/>
      <c r="FX1133" s="91"/>
      <c r="FY1133" s="91"/>
      <c r="FZ1133" s="91"/>
      <c r="GA1133" s="91"/>
      <c r="GB1133" s="91"/>
      <c r="GC1133" s="91"/>
      <c r="GD1133" s="91"/>
      <c r="GE1133" s="91"/>
      <c r="GF1133" s="91"/>
      <c r="GG1133" s="91"/>
      <c r="GH1133" s="91"/>
      <c r="GI1133" s="91"/>
      <c r="GJ1133" s="91"/>
      <c r="GK1133" s="91"/>
      <c r="GL1133" s="91"/>
      <c r="GM1133" s="91"/>
      <c r="GN1133" s="91"/>
      <c r="GO1133" s="91"/>
      <c r="GP1133" s="91"/>
      <c r="GQ1133" s="91"/>
      <c r="GR1133" s="91"/>
      <c r="GS1133" s="91"/>
      <c r="GT1133" s="91"/>
      <c r="GU1133" s="91"/>
      <c r="GV1133" s="91"/>
      <c r="GW1133" s="91"/>
      <c r="GX1133" s="91"/>
      <c r="GY1133" s="91"/>
      <c r="GZ1133" s="91"/>
      <c r="HA1133" s="91"/>
      <c r="HB1133" s="91"/>
      <c r="HC1133" s="91"/>
      <c r="HD1133" s="91"/>
      <c r="HE1133" s="91"/>
      <c r="HF1133" s="91"/>
      <c r="HG1133" s="91"/>
      <c r="HH1133" s="91"/>
      <c r="HI1133" s="91"/>
      <c r="HJ1133" s="91"/>
      <c r="HK1133" s="91"/>
      <c r="HL1133" s="91"/>
      <c r="HM1133" s="91"/>
      <c r="HN1133" s="91"/>
      <c r="HO1133" s="91"/>
      <c r="HP1133" s="91"/>
      <c r="HQ1133" s="91"/>
      <c r="HR1133" s="91"/>
      <c r="HS1133" s="91"/>
      <c r="HT1133" s="91"/>
      <c r="HU1133" s="91"/>
      <c r="HV1133" s="91"/>
      <c r="HW1133" s="91"/>
      <c r="HX1133" s="91"/>
      <c r="HY1133" s="91"/>
      <c r="HZ1133" s="91"/>
      <c r="IA1133" s="91"/>
      <c r="IB1133" s="91"/>
      <c r="IC1133" s="91"/>
      <c r="ID1133" s="91"/>
      <c r="IE1133" s="91"/>
    </row>
    <row r="1134" spans="2:239" ht="15" x14ac:dyDescent="0.2">
      <c r="B1134" s="91"/>
      <c r="C1134" s="91"/>
      <c r="D1134" s="91"/>
      <c r="E1134" s="227"/>
      <c r="F1134" s="91"/>
      <c r="G1134" s="91"/>
      <c r="H1134" s="91"/>
      <c r="I1134" s="91"/>
      <c r="J1134" s="91"/>
      <c r="K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c r="FG1134" s="91"/>
      <c r="FH1134" s="91"/>
      <c r="FI1134" s="91"/>
      <c r="FJ1134" s="91"/>
      <c r="FK1134" s="91"/>
      <c r="FL1134" s="91"/>
      <c r="FM1134" s="91"/>
      <c r="FN1134" s="91"/>
      <c r="FO1134" s="91"/>
      <c r="FP1134" s="91"/>
      <c r="FQ1134" s="91"/>
      <c r="FR1134" s="91"/>
      <c r="FS1134" s="91"/>
      <c r="FT1134" s="91"/>
      <c r="FU1134" s="91"/>
      <c r="FV1134" s="91"/>
      <c r="FW1134" s="91"/>
      <c r="FX1134" s="91"/>
      <c r="FY1134" s="91"/>
      <c r="FZ1134" s="91"/>
      <c r="GA1134" s="91"/>
      <c r="GB1134" s="91"/>
      <c r="GC1134" s="91"/>
      <c r="GD1134" s="91"/>
      <c r="GE1134" s="91"/>
      <c r="GF1134" s="91"/>
      <c r="GG1134" s="91"/>
      <c r="GH1134" s="91"/>
      <c r="GI1134" s="91"/>
      <c r="GJ1134" s="91"/>
      <c r="GK1134" s="91"/>
      <c r="GL1134" s="91"/>
      <c r="GM1134" s="91"/>
      <c r="GN1134" s="91"/>
      <c r="GO1134" s="91"/>
      <c r="GP1134" s="91"/>
      <c r="GQ1134" s="91"/>
      <c r="GR1134" s="91"/>
      <c r="GS1134" s="91"/>
      <c r="GT1134" s="91"/>
      <c r="GU1134" s="91"/>
      <c r="GV1134" s="91"/>
      <c r="GW1134" s="91"/>
      <c r="GX1134" s="91"/>
      <c r="GY1134" s="91"/>
      <c r="GZ1134" s="91"/>
      <c r="HA1134" s="91"/>
      <c r="HB1134" s="91"/>
      <c r="HC1134" s="91"/>
      <c r="HD1134" s="91"/>
      <c r="HE1134" s="91"/>
      <c r="HF1134" s="91"/>
      <c r="HG1134" s="91"/>
      <c r="HH1134" s="91"/>
      <c r="HI1134" s="91"/>
      <c r="HJ1134" s="91"/>
      <c r="HK1134" s="91"/>
      <c r="HL1134" s="91"/>
      <c r="HM1134" s="91"/>
      <c r="HN1134" s="91"/>
      <c r="HO1134" s="91"/>
      <c r="HP1134" s="91"/>
      <c r="HQ1134" s="91"/>
      <c r="HR1134" s="91"/>
      <c r="HS1134" s="91"/>
      <c r="HT1134" s="91"/>
      <c r="HU1134" s="91"/>
      <c r="HV1134" s="91"/>
      <c r="HW1134" s="91"/>
      <c r="HX1134" s="91"/>
      <c r="HY1134" s="91"/>
      <c r="HZ1134" s="91"/>
      <c r="IA1134" s="91"/>
      <c r="IB1134" s="91"/>
      <c r="IC1134" s="91"/>
      <c r="ID1134" s="91"/>
      <c r="IE1134" s="91"/>
    </row>
    <row r="1135" spans="2:239" ht="15" x14ac:dyDescent="0.2">
      <c r="B1135" s="91"/>
      <c r="C1135" s="91"/>
      <c r="D1135" s="91"/>
      <c r="E1135" s="227"/>
      <c r="F1135" s="91"/>
      <c r="G1135" s="91"/>
      <c r="H1135" s="91"/>
      <c r="I1135" s="91"/>
      <c r="J1135" s="91"/>
      <c r="K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c r="FB1135" s="91"/>
      <c r="FC1135" s="91"/>
      <c r="FD1135" s="91"/>
      <c r="FE1135" s="91"/>
      <c r="FF1135" s="91"/>
      <c r="FG1135" s="91"/>
      <c r="FH1135" s="91"/>
      <c r="FI1135" s="91"/>
      <c r="FJ1135" s="91"/>
      <c r="FK1135" s="91"/>
      <c r="FL1135" s="91"/>
      <c r="FM1135" s="91"/>
      <c r="FN1135" s="91"/>
      <c r="FO1135" s="91"/>
      <c r="FP1135" s="91"/>
      <c r="FQ1135" s="91"/>
      <c r="FR1135" s="91"/>
      <c r="FS1135" s="91"/>
      <c r="FT1135" s="91"/>
      <c r="FU1135" s="91"/>
      <c r="FV1135" s="91"/>
      <c r="FW1135" s="91"/>
      <c r="FX1135" s="91"/>
      <c r="FY1135" s="91"/>
      <c r="FZ1135" s="91"/>
      <c r="GA1135" s="91"/>
      <c r="GB1135" s="91"/>
      <c r="GC1135" s="91"/>
      <c r="GD1135" s="91"/>
      <c r="GE1135" s="91"/>
      <c r="GF1135" s="91"/>
      <c r="GG1135" s="91"/>
      <c r="GH1135" s="91"/>
      <c r="GI1135" s="91"/>
      <c r="GJ1135" s="91"/>
      <c r="GK1135" s="91"/>
      <c r="GL1135" s="91"/>
      <c r="GM1135" s="91"/>
      <c r="GN1135" s="91"/>
      <c r="GO1135" s="91"/>
      <c r="GP1135" s="91"/>
      <c r="GQ1135" s="91"/>
      <c r="GR1135" s="91"/>
      <c r="GS1135" s="91"/>
      <c r="GT1135" s="91"/>
      <c r="GU1135" s="91"/>
      <c r="GV1135" s="91"/>
      <c r="GW1135" s="91"/>
      <c r="GX1135" s="91"/>
      <c r="GY1135" s="91"/>
      <c r="GZ1135" s="91"/>
      <c r="HA1135" s="91"/>
      <c r="HB1135" s="91"/>
      <c r="HC1135" s="91"/>
      <c r="HD1135" s="91"/>
      <c r="HE1135" s="91"/>
      <c r="HF1135" s="91"/>
      <c r="HG1135" s="91"/>
      <c r="HH1135" s="91"/>
      <c r="HI1135" s="91"/>
      <c r="HJ1135" s="91"/>
      <c r="HK1135" s="91"/>
      <c r="HL1135" s="91"/>
      <c r="HM1135" s="91"/>
      <c r="HN1135" s="91"/>
      <c r="HO1135" s="91"/>
      <c r="HP1135" s="91"/>
      <c r="HQ1135" s="91"/>
      <c r="HR1135" s="91"/>
      <c r="HS1135" s="91"/>
      <c r="HT1135" s="91"/>
      <c r="HU1135" s="91"/>
      <c r="HV1135" s="91"/>
      <c r="HW1135" s="91"/>
      <c r="HX1135" s="91"/>
      <c r="HY1135" s="91"/>
      <c r="HZ1135" s="91"/>
      <c r="IA1135" s="91"/>
      <c r="IB1135" s="91"/>
      <c r="IC1135" s="91"/>
      <c r="ID1135" s="91"/>
      <c r="IE1135" s="91"/>
    </row>
    <row r="1136" spans="2:239" ht="15" x14ac:dyDescent="0.2">
      <c r="B1136" s="91"/>
      <c r="C1136" s="91"/>
      <c r="D1136" s="91"/>
      <c r="E1136" s="227"/>
      <c r="F1136" s="91"/>
      <c r="G1136" s="91"/>
      <c r="H1136" s="91"/>
      <c r="I1136" s="91"/>
      <c r="J1136" s="91"/>
      <c r="K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c r="FG1136" s="91"/>
      <c r="FH1136" s="91"/>
      <c r="FI1136" s="91"/>
      <c r="FJ1136" s="91"/>
      <c r="FK1136" s="91"/>
      <c r="FL1136" s="91"/>
      <c r="FM1136" s="91"/>
      <c r="FN1136" s="91"/>
      <c r="FO1136" s="91"/>
      <c r="FP1136" s="91"/>
      <c r="FQ1136" s="91"/>
      <c r="FR1136" s="91"/>
      <c r="FS1136" s="91"/>
      <c r="FT1136" s="91"/>
      <c r="FU1136" s="91"/>
      <c r="FV1136" s="91"/>
      <c r="FW1136" s="91"/>
      <c r="FX1136" s="91"/>
      <c r="FY1136" s="91"/>
      <c r="FZ1136" s="91"/>
      <c r="GA1136" s="91"/>
      <c r="GB1136" s="91"/>
      <c r="GC1136" s="91"/>
      <c r="GD1136" s="91"/>
      <c r="GE1136" s="91"/>
      <c r="GF1136" s="91"/>
      <c r="GG1136" s="91"/>
      <c r="GH1136" s="91"/>
      <c r="GI1136" s="91"/>
      <c r="GJ1136" s="91"/>
      <c r="GK1136" s="91"/>
      <c r="GL1136" s="91"/>
      <c r="GM1136" s="91"/>
      <c r="GN1136" s="91"/>
      <c r="GO1136" s="91"/>
      <c r="GP1136" s="91"/>
      <c r="GQ1136" s="91"/>
      <c r="GR1136" s="91"/>
      <c r="GS1136" s="91"/>
      <c r="GT1136" s="91"/>
      <c r="GU1136" s="91"/>
      <c r="GV1136" s="91"/>
      <c r="GW1136" s="91"/>
      <c r="GX1136" s="91"/>
      <c r="GY1136" s="91"/>
      <c r="GZ1136" s="91"/>
      <c r="HA1136" s="91"/>
      <c r="HB1136" s="91"/>
      <c r="HC1136" s="91"/>
      <c r="HD1136" s="91"/>
      <c r="HE1136" s="91"/>
      <c r="HF1136" s="91"/>
      <c r="HG1136" s="91"/>
      <c r="HH1136" s="91"/>
      <c r="HI1136" s="91"/>
      <c r="HJ1136" s="91"/>
      <c r="HK1136" s="91"/>
      <c r="HL1136" s="91"/>
      <c r="HM1136" s="91"/>
      <c r="HN1136" s="91"/>
      <c r="HO1136" s="91"/>
      <c r="HP1136" s="91"/>
      <c r="HQ1136" s="91"/>
      <c r="HR1136" s="91"/>
      <c r="HS1136" s="91"/>
      <c r="HT1136" s="91"/>
      <c r="HU1136" s="91"/>
      <c r="HV1136" s="91"/>
      <c r="HW1136" s="91"/>
      <c r="HX1136" s="91"/>
      <c r="HY1136" s="91"/>
      <c r="HZ1136" s="91"/>
      <c r="IA1136" s="91"/>
      <c r="IB1136" s="91"/>
      <c r="IC1136" s="91"/>
      <c r="ID1136" s="91"/>
      <c r="IE1136" s="91"/>
    </row>
    <row r="1137" spans="2:239" ht="15" x14ac:dyDescent="0.2">
      <c r="B1137" s="91"/>
      <c r="C1137" s="91"/>
      <c r="D1137" s="91"/>
      <c r="E1137" s="227"/>
      <c r="F1137" s="91"/>
      <c r="G1137" s="91"/>
      <c r="H1137" s="91"/>
      <c r="I1137" s="91"/>
      <c r="J1137" s="91"/>
      <c r="K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c r="FB1137" s="91"/>
      <c r="FC1137" s="91"/>
      <c r="FD1137" s="91"/>
      <c r="FE1137" s="91"/>
      <c r="FF1137" s="91"/>
      <c r="FG1137" s="91"/>
      <c r="FH1137" s="91"/>
      <c r="FI1137" s="91"/>
      <c r="FJ1137" s="91"/>
      <c r="FK1137" s="91"/>
      <c r="FL1137" s="91"/>
      <c r="FM1137" s="91"/>
      <c r="FN1137" s="91"/>
      <c r="FO1137" s="91"/>
      <c r="FP1137" s="91"/>
      <c r="FQ1137" s="91"/>
      <c r="FR1137" s="91"/>
      <c r="FS1137" s="91"/>
      <c r="FT1137" s="91"/>
      <c r="FU1137" s="91"/>
      <c r="FV1137" s="91"/>
      <c r="FW1137" s="91"/>
      <c r="FX1137" s="91"/>
      <c r="FY1137" s="91"/>
      <c r="FZ1137" s="91"/>
      <c r="GA1137" s="91"/>
      <c r="GB1137" s="91"/>
      <c r="GC1137" s="91"/>
      <c r="GD1137" s="91"/>
      <c r="GE1137" s="91"/>
      <c r="GF1137" s="91"/>
      <c r="GG1137" s="91"/>
      <c r="GH1137" s="91"/>
      <c r="GI1137" s="91"/>
      <c r="GJ1137" s="91"/>
      <c r="GK1137" s="91"/>
      <c r="GL1137" s="91"/>
      <c r="GM1137" s="91"/>
      <c r="GN1137" s="91"/>
      <c r="GO1137" s="91"/>
      <c r="GP1137" s="91"/>
      <c r="GQ1137" s="91"/>
      <c r="GR1137" s="91"/>
      <c r="GS1137" s="91"/>
      <c r="GT1137" s="91"/>
      <c r="GU1137" s="91"/>
      <c r="GV1137" s="91"/>
      <c r="GW1137" s="91"/>
      <c r="GX1137" s="91"/>
      <c r="GY1137" s="91"/>
      <c r="GZ1137" s="91"/>
      <c r="HA1137" s="91"/>
      <c r="HB1137" s="91"/>
      <c r="HC1137" s="91"/>
      <c r="HD1137" s="91"/>
      <c r="HE1137" s="91"/>
      <c r="HF1137" s="91"/>
      <c r="HG1137" s="91"/>
      <c r="HH1137" s="91"/>
      <c r="HI1137" s="91"/>
      <c r="HJ1137" s="91"/>
      <c r="HK1137" s="91"/>
      <c r="HL1137" s="91"/>
      <c r="HM1137" s="91"/>
      <c r="HN1137" s="91"/>
      <c r="HO1137" s="91"/>
      <c r="HP1137" s="91"/>
      <c r="HQ1137" s="91"/>
      <c r="HR1137" s="91"/>
      <c r="HS1137" s="91"/>
      <c r="HT1137" s="91"/>
      <c r="HU1137" s="91"/>
      <c r="HV1137" s="91"/>
      <c r="HW1137" s="91"/>
      <c r="HX1137" s="91"/>
      <c r="HY1137" s="91"/>
      <c r="HZ1137" s="91"/>
      <c r="IA1137" s="91"/>
      <c r="IB1137" s="91"/>
      <c r="IC1137" s="91"/>
      <c r="ID1137" s="91"/>
      <c r="IE1137" s="91"/>
    </row>
    <row r="1138" spans="2:239" ht="15" x14ac:dyDescent="0.2">
      <c r="B1138" s="91"/>
      <c r="C1138" s="91"/>
      <c r="D1138" s="91"/>
      <c r="E1138" s="227"/>
      <c r="F1138" s="91"/>
      <c r="G1138" s="91"/>
      <c r="H1138" s="91"/>
      <c r="I1138" s="91"/>
      <c r="J1138" s="91"/>
      <c r="K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c r="FG1138" s="91"/>
      <c r="FH1138" s="91"/>
      <c r="FI1138" s="91"/>
      <c r="FJ1138" s="91"/>
      <c r="FK1138" s="91"/>
      <c r="FL1138" s="91"/>
      <c r="FM1138" s="91"/>
      <c r="FN1138" s="91"/>
      <c r="FO1138" s="91"/>
      <c r="FP1138" s="91"/>
      <c r="FQ1138" s="91"/>
      <c r="FR1138" s="91"/>
      <c r="FS1138" s="91"/>
      <c r="FT1138" s="91"/>
      <c r="FU1138" s="91"/>
      <c r="FV1138" s="91"/>
      <c r="FW1138" s="91"/>
      <c r="FX1138" s="91"/>
      <c r="FY1138" s="91"/>
      <c r="FZ1138" s="91"/>
      <c r="GA1138" s="91"/>
      <c r="GB1138" s="91"/>
      <c r="GC1138" s="91"/>
      <c r="GD1138" s="91"/>
      <c r="GE1138" s="91"/>
      <c r="GF1138" s="91"/>
      <c r="GG1138" s="91"/>
      <c r="GH1138" s="91"/>
      <c r="GI1138" s="91"/>
      <c r="GJ1138" s="91"/>
      <c r="GK1138" s="91"/>
      <c r="GL1138" s="91"/>
      <c r="GM1138" s="91"/>
      <c r="GN1138" s="91"/>
      <c r="GO1138" s="91"/>
      <c r="GP1138" s="91"/>
      <c r="GQ1138" s="91"/>
      <c r="GR1138" s="91"/>
      <c r="GS1138" s="91"/>
      <c r="GT1138" s="91"/>
      <c r="GU1138" s="91"/>
      <c r="GV1138" s="91"/>
      <c r="GW1138" s="91"/>
      <c r="GX1138" s="91"/>
      <c r="GY1138" s="91"/>
      <c r="GZ1138" s="91"/>
      <c r="HA1138" s="91"/>
      <c r="HB1138" s="91"/>
      <c r="HC1138" s="91"/>
      <c r="HD1138" s="91"/>
      <c r="HE1138" s="91"/>
      <c r="HF1138" s="91"/>
      <c r="HG1138" s="91"/>
      <c r="HH1138" s="91"/>
      <c r="HI1138" s="91"/>
      <c r="HJ1138" s="91"/>
      <c r="HK1138" s="91"/>
      <c r="HL1138" s="91"/>
      <c r="HM1138" s="91"/>
      <c r="HN1138" s="91"/>
      <c r="HO1138" s="91"/>
      <c r="HP1138" s="91"/>
      <c r="HQ1138" s="91"/>
      <c r="HR1138" s="91"/>
      <c r="HS1138" s="91"/>
      <c r="HT1138" s="91"/>
      <c r="HU1138" s="91"/>
      <c r="HV1138" s="91"/>
      <c r="HW1138" s="91"/>
      <c r="HX1138" s="91"/>
      <c r="HY1138" s="91"/>
      <c r="HZ1138" s="91"/>
      <c r="IA1138" s="91"/>
      <c r="IB1138" s="91"/>
      <c r="IC1138" s="91"/>
      <c r="ID1138" s="91"/>
      <c r="IE1138" s="91"/>
    </row>
    <row r="1139" spans="2:239" ht="15" x14ac:dyDescent="0.2">
      <c r="B1139" s="91"/>
      <c r="C1139" s="91"/>
      <c r="D1139" s="91"/>
      <c r="E1139" s="227"/>
      <c r="F1139" s="91"/>
      <c r="G1139" s="91"/>
      <c r="H1139" s="91"/>
      <c r="I1139" s="91"/>
      <c r="J1139" s="91"/>
      <c r="K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c r="FG1139" s="91"/>
      <c r="FH1139" s="91"/>
      <c r="FI1139" s="91"/>
      <c r="FJ1139" s="91"/>
      <c r="FK1139" s="91"/>
      <c r="FL1139" s="91"/>
      <c r="FM1139" s="91"/>
      <c r="FN1139" s="91"/>
      <c r="FO1139" s="91"/>
      <c r="FP1139" s="91"/>
      <c r="FQ1139" s="91"/>
      <c r="FR1139" s="91"/>
      <c r="FS1139" s="91"/>
      <c r="FT1139" s="91"/>
      <c r="FU1139" s="91"/>
      <c r="FV1139" s="91"/>
      <c r="FW1139" s="91"/>
      <c r="FX1139" s="91"/>
      <c r="FY1139" s="91"/>
      <c r="FZ1139" s="91"/>
      <c r="GA1139" s="91"/>
      <c r="GB1139" s="91"/>
      <c r="GC1139" s="91"/>
      <c r="GD1139" s="91"/>
      <c r="GE1139" s="91"/>
      <c r="GF1139" s="91"/>
      <c r="GG1139" s="91"/>
      <c r="GH1139" s="91"/>
      <c r="GI1139" s="91"/>
      <c r="GJ1139" s="91"/>
      <c r="GK1139" s="91"/>
      <c r="GL1139" s="91"/>
      <c r="GM1139" s="91"/>
      <c r="GN1139" s="91"/>
      <c r="GO1139" s="91"/>
      <c r="GP1139" s="91"/>
      <c r="GQ1139" s="91"/>
      <c r="GR1139" s="91"/>
      <c r="GS1139" s="91"/>
      <c r="GT1139" s="91"/>
      <c r="GU1139" s="91"/>
      <c r="GV1139" s="91"/>
      <c r="GW1139" s="91"/>
      <c r="GX1139" s="91"/>
      <c r="GY1139" s="91"/>
      <c r="GZ1139" s="91"/>
      <c r="HA1139" s="91"/>
      <c r="HB1139" s="91"/>
      <c r="HC1139" s="91"/>
      <c r="HD1139" s="91"/>
      <c r="HE1139" s="91"/>
      <c r="HF1139" s="91"/>
      <c r="HG1139" s="91"/>
      <c r="HH1139" s="91"/>
      <c r="HI1139" s="91"/>
      <c r="HJ1139" s="91"/>
      <c r="HK1139" s="91"/>
      <c r="HL1139" s="91"/>
      <c r="HM1139" s="91"/>
      <c r="HN1139" s="91"/>
      <c r="HO1139" s="91"/>
      <c r="HP1139" s="91"/>
      <c r="HQ1139" s="91"/>
      <c r="HR1139" s="91"/>
      <c r="HS1139" s="91"/>
      <c r="HT1139" s="91"/>
      <c r="HU1139" s="91"/>
      <c r="HV1139" s="91"/>
      <c r="HW1139" s="91"/>
      <c r="HX1139" s="91"/>
      <c r="HY1139" s="91"/>
      <c r="HZ1139" s="91"/>
      <c r="IA1139" s="91"/>
      <c r="IB1139" s="91"/>
      <c r="IC1139" s="91"/>
      <c r="ID1139" s="91"/>
      <c r="IE1139" s="91"/>
    </row>
    <row r="1140" spans="2:239" ht="15" x14ac:dyDescent="0.2">
      <c r="B1140" s="91"/>
      <c r="C1140" s="91"/>
      <c r="D1140" s="91"/>
      <c r="E1140" s="227"/>
      <c r="F1140" s="91"/>
      <c r="G1140" s="91"/>
      <c r="H1140" s="91"/>
      <c r="I1140" s="91"/>
      <c r="J1140" s="91"/>
      <c r="K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c r="FG1140" s="91"/>
      <c r="FH1140" s="91"/>
      <c r="FI1140" s="91"/>
      <c r="FJ1140" s="91"/>
      <c r="FK1140" s="91"/>
      <c r="FL1140" s="91"/>
      <c r="FM1140" s="91"/>
      <c r="FN1140" s="91"/>
      <c r="FO1140" s="91"/>
      <c r="FP1140" s="91"/>
      <c r="FQ1140" s="91"/>
      <c r="FR1140" s="91"/>
      <c r="FS1140" s="91"/>
      <c r="FT1140" s="91"/>
      <c r="FU1140" s="91"/>
      <c r="FV1140" s="91"/>
      <c r="FW1140" s="91"/>
      <c r="FX1140" s="91"/>
      <c r="FY1140" s="91"/>
      <c r="FZ1140" s="91"/>
      <c r="GA1140" s="91"/>
      <c r="GB1140" s="91"/>
      <c r="GC1140" s="91"/>
      <c r="GD1140" s="91"/>
      <c r="GE1140" s="91"/>
      <c r="GF1140" s="91"/>
      <c r="GG1140" s="91"/>
      <c r="GH1140" s="91"/>
      <c r="GI1140" s="91"/>
      <c r="GJ1140" s="91"/>
      <c r="GK1140" s="91"/>
      <c r="GL1140" s="91"/>
      <c r="GM1140" s="91"/>
      <c r="GN1140" s="91"/>
      <c r="GO1140" s="91"/>
      <c r="GP1140" s="91"/>
      <c r="GQ1140" s="91"/>
      <c r="GR1140" s="91"/>
      <c r="GS1140" s="91"/>
      <c r="GT1140" s="91"/>
      <c r="GU1140" s="91"/>
      <c r="GV1140" s="91"/>
      <c r="GW1140" s="91"/>
      <c r="GX1140" s="91"/>
      <c r="GY1140" s="91"/>
      <c r="GZ1140" s="91"/>
      <c r="HA1140" s="91"/>
      <c r="HB1140" s="91"/>
      <c r="HC1140" s="91"/>
      <c r="HD1140" s="91"/>
      <c r="HE1140" s="91"/>
      <c r="HF1140" s="91"/>
      <c r="HG1140" s="91"/>
      <c r="HH1140" s="91"/>
      <c r="HI1140" s="91"/>
      <c r="HJ1140" s="91"/>
      <c r="HK1140" s="91"/>
      <c r="HL1140" s="91"/>
      <c r="HM1140" s="91"/>
      <c r="HN1140" s="91"/>
      <c r="HO1140" s="91"/>
      <c r="HP1140" s="91"/>
      <c r="HQ1140" s="91"/>
      <c r="HR1140" s="91"/>
      <c r="HS1140" s="91"/>
      <c r="HT1140" s="91"/>
      <c r="HU1140" s="91"/>
      <c r="HV1140" s="91"/>
      <c r="HW1140" s="91"/>
      <c r="HX1140" s="91"/>
      <c r="HY1140" s="91"/>
      <c r="HZ1140" s="91"/>
      <c r="IA1140" s="91"/>
      <c r="IB1140" s="91"/>
      <c r="IC1140" s="91"/>
      <c r="ID1140" s="91"/>
      <c r="IE1140" s="91"/>
    </row>
    <row r="1141" spans="2:239" ht="15" x14ac:dyDescent="0.2">
      <c r="B1141" s="91"/>
      <c r="C1141" s="91"/>
      <c r="D1141" s="91"/>
      <c r="E1141" s="227"/>
      <c r="F1141" s="91"/>
      <c r="G1141" s="91"/>
      <c r="H1141" s="91"/>
      <c r="I1141" s="91"/>
      <c r="J1141" s="91"/>
      <c r="K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c r="FB1141" s="91"/>
      <c r="FC1141" s="91"/>
      <c r="FD1141" s="91"/>
      <c r="FE1141" s="91"/>
      <c r="FF1141" s="91"/>
      <c r="FG1141" s="91"/>
      <c r="FH1141" s="91"/>
      <c r="FI1141" s="91"/>
      <c r="FJ1141" s="91"/>
      <c r="FK1141" s="91"/>
      <c r="FL1141" s="91"/>
      <c r="FM1141" s="91"/>
      <c r="FN1141" s="91"/>
      <c r="FO1141" s="91"/>
      <c r="FP1141" s="91"/>
      <c r="FQ1141" s="91"/>
      <c r="FR1141" s="91"/>
      <c r="FS1141" s="91"/>
      <c r="FT1141" s="91"/>
      <c r="FU1141" s="91"/>
      <c r="FV1141" s="91"/>
      <c r="FW1141" s="91"/>
      <c r="FX1141" s="91"/>
      <c r="FY1141" s="91"/>
      <c r="FZ1141" s="91"/>
      <c r="GA1141" s="91"/>
      <c r="GB1141" s="91"/>
      <c r="GC1141" s="91"/>
      <c r="GD1141" s="91"/>
      <c r="GE1141" s="91"/>
      <c r="GF1141" s="91"/>
      <c r="GG1141" s="91"/>
      <c r="GH1141" s="91"/>
      <c r="GI1141" s="91"/>
      <c r="GJ1141" s="91"/>
      <c r="GK1141" s="91"/>
      <c r="GL1141" s="91"/>
      <c r="GM1141" s="91"/>
      <c r="GN1141" s="91"/>
      <c r="GO1141" s="91"/>
      <c r="GP1141" s="91"/>
      <c r="GQ1141" s="91"/>
      <c r="GR1141" s="91"/>
      <c r="GS1141" s="91"/>
      <c r="GT1141" s="91"/>
      <c r="GU1141" s="91"/>
      <c r="GV1141" s="91"/>
      <c r="GW1141" s="91"/>
      <c r="GX1141" s="91"/>
      <c r="GY1141" s="91"/>
      <c r="GZ1141" s="91"/>
      <c r="HA1141" s="91"/>
      <c r="HB1141" s="91"/>
      <c r="HC1141" s="91"/>
      <c r="HD1141" s="91"/>
      <c r="HE1141" s="91"/>
      <c r="HF1141" s="91"/>
      <c r="HG1141" s="91"/>
      <c r="HH1141" s="91"/>
      <c r="HI1141" s="91"/>
      <c r="HJ1141" s="91"/>
      <c r="HK1141" s="91"/>
      <c r="HL1141" s="91"/>
      <c r="HM1141" s="91"/>
      <c r="HN1141" s="91"/>
      <c r="HO1141" s="91"/>
      <c r="HP1141" s="91"/>
      <c r="HQ1141" s="91"/>
      <c r="HR1141" s="91"/>
      <c r="HS1141" s="91"/>
      <c r="HT1141" s="91"/>
      <c r="HU1141" s="91"/>
      <c r="HV1141" s="91"/>
      <c r="HW1141" s="91"/>
      <c r="HX1141" s="91"/>
      <c r="HY1141" s="91"/>
      <c r="HZ1141" s="91"/>
      <c r="IA1141" s="91"/>
      <c r="IB1141" s="91"/>
      <c r="IC1141" s="91"/>
      <c r="ID1141" s="91"/>
      <c r="IE1141" s="91"/>
    </row>
    <row r="1142" spans="2:239" ht="15" x14ac:dyDescent="0.2">
      <c r="B1142" s="91"/>
      <c r="C1142" s="91"/>
      <c r="D1142" s="91"/>
      <c r="E1142" s="227"/>
      <c r="F1142" s="91"/>
      <c r="G1142" s="91"/>
      <c r="H1142" s="91"/>
      <c r="I1142" s="91"/>
      <c r="J1142" s="91"/>
      <c r="K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c r="FG1142" s="91"/>
      <c r="FH1142" s="91"/>
      <c r="FI1142" s="91"/>
      <c r="FJ1142" s="91"/>
      <c r="FK1142" s="91"/>
      <c r="FL1142" s="91"/>
      <c r="FM1142" s="91"/>
      <c r="FN1142" s="91"/>
      <c r="FO1142" s="91"/>
      <c r="FP1142" s="91"/>
      <c r="FQ1142" s="91"/>
      <c r="FR1142" s="91"/>
      <c r="FS1142" s="91"/>
      <c r="FT1142" s="91"/>
      <c r="FU1142" s="91"/>
      <c r="FV1142" s="91"/>
      <c r="FW1142" s="91"/>
      <c r="FX1142" s="91"/>
      <c r="FY1142" s="91"/>
      <c r="FZ1142" s="91"/>
      <c r="GA1142" s="91"/>
      <c r="GB1142" s="91"/>
      <c r="GC1142" s="91"/>
      <c r="GD1142" s="91"/>
      <c r="GE1142" s="91"/>
      <c r="GF1142" s="91"/>
      <c r="GG1142" s="91"/>
      <c r="GH1142" s="91"/>
      <c r="GI1142" s="91"/>
      <c r="GJ1142" s="91"/>
      <c r="GK1142" s="91"/>
      <c r="GL1142" s="91"/>
      <c r="GM1142" s="91"/>
      <c r="GN1142" s="91"/>
      <c r="GO1142" s="91"/>
      <c r="GP1142" s="91"/>
      <c r="GQ1142" s="91"/>
      <c r="GR1142" s="91"/>
      <c r="GS1142" s="91"/>
      <c r="GT1142" s="91"/>
      <c r="GU1142" s="91"/>
      <c r="GV1142" s="91"/>
      <c r="GW1142" s="91"/>
      <c r="GX1142" s="91"/>
      <c r="GY1142" s="91"/>
      <c r="GZ1142" s="91"/>
      <c r="HA1142" s="91"/>
      <c r="HB1142" s="91"/>
      <c r="HC1142" s="91"/>
      <c r="HD1142" s="91"/>
      <c r="HE1142" s="91"/>
      <c r="HF1142" s="91"/>
      <c r="HG1142" s="91"/>
      <c r="HH1142" s="91"/>
      <c r="HI1142" s="91"/>
      <c r="HJ1142" s="91"/>
      <c r="HK1142" s="91"/>
      <c r="HL1142" s="91"/>
      <c r="HM1142" s="91"/>
      <c r="HN1142" s="91"/>
      <c r="HO1142" s="91"/>
      <c r="HP1142" s="91"/>
      <c r="HQ1142" s="91"/>
      <c r="HR1142" s="91"/>
      <c r="HS1142" s="91"/>
      <c r="HT1142" s="91"/>
      <c r="HU1142" s="91"/>
      <c r="HV1142" s="91"/>
      <c r="HW1142" s="91"/>
      <c r="HX1142" s="91"/>
      <c r="HY1142" s="91"/>
      <c r="HZ1142" s="91"/>
      <c r="IA1142" s="91"/>
      <c r="IB1142" s="91"/>
      <c r="IC1142" s="91"/>
      <c r="ID1142" s="91"/>
      <c r="IE1142" s="91"/>
    </row>
    <row r="1143" spans="2:239" ht="15" x14ac:dyDescent="0.2">
      <c r="B1143" s="91"/>
      <c r="C1143" s="91"/>
      <c r="D1143" s="91"/>
      <c r="E1143" s="227"/>
      <c r="F1143" s="91"/>
      <c r="G1143" s="91"/>
      <c r="H1143" s="91"/>
      <c r="I1143" s="91"/>
      <c r="J1143" s="91"/>
      <c r="K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c r="FG1143" s="91"/>
      <c r="FH1143" s="91"/>
      <c r="FI1143" s="91"/>
      <c r="FJ1143" s="91"/>
      <c r="FK1143" s="91"/>
      <c r="FL1143" s="91"/>
      <c r="FM1143" s="91"/>
      <c r="FN1143" s="91"/>
      <c r="FO1143" s="91"/>
      <c r="FP1143" s="91"/>
      <c r="FQ1143" s="91"/>
      <c r="FR1143" s="91"/>
      <c r="FS1143" s="91"/>
      <c r="FT1143" s="91"/>
      <c r="FU1143" s="91"/>
      <c r="FV1143" s="91"/>
      <c r="FW1143" s="91"/>
      <c r="FX1143" s="91"/>
      <c r="FY1143" s="91"/>
      <c r="FZ1143" s="91"/>
      <c r="GA1143" s="91"/>
      <c r="GB1143" s="91"/>
      <c r="GC1143" s="91"/>
      <c r="GD1143" s="91"/>
      <c r="GE1143" s="91"/>
      <c r="GF1143" s="91"/>
      <c r="GG1143" s="91"/>
      <c r="GH1143" s="91"/>
      <c r="GI1143" s="91"/>
      <c r="GJ1143" s="91"/>
      <c r="GK1143" s="91"/>
      <c r="GL1143" s="91"/>
      <c r="GM1143" s="91"/>
      <c r="GN1143" s="91"/>
      <c r="GO1143" s="91"/>
      <c r="GP1143" s="91"/>
      <c r="GQ1143" s="91"/>
      <c r="GR1143" s="91"/>
      <c r="GS1143" s="91"/>
      <c r="GT1143" s="91"/>
      <c r="GU1143" s="91"/>
      <c r="GV1143" s="91"/>
      <c r="GW1143" s="91"/>
      <c r="GX1143" s="91"/>
      <c r="GY1143" s="91"/>
      <c r="GZ1143" s="91"/>
      <c r="HA1143" s="91"/>
      <c r="HB1143" s="91"/>
      <c r="HC1143" s="91"/>
      <c r="HD1143" s="91"/>
      <c r="HE1143" s="91"/>
      <c r="HF1143" s="91"/>
      <c r="HG1143" s="91"/>
      <c r="HH1143" s="91"/>
      <c r="HI1143" s="91"/>
      <c r="HJ1143" s="91"/>
      <c r="HK1143" s="91"/>
      <c r="HL1143" s="91"/>
      <c r="HM1143" s="91"/>
      <c r="HN1143" s="91"/>
      <c r="HO1143" s="91"/>
      <c r="HP1143" s="91"/>
      <c r="HQ1143" s="91"/>
      <c r="HR1143" s="91"/>
      <c r="HS1143" s="91"/>
      <c r="HT1143" s="91"/>
      <c r="HU1143" s="91"/>
      <c r="HV1143" s="91"/>
      <c r="HW1143" s="91"/>
      <c r="HX1143" s="91"/>
      <c r="HY1143" s="91"/>
      <c r="HZ1143" s="91"/>
      <c r="IA1143" s="91"/>
      <c r="IB1143" s="91"/>
      <c r="IC1143" s="91"/>
      <c r="ID1143" s="91"/>
      <c r="IE1143" s="91"/>
    </row>
    <row r="1144" spans="2:239" ht="15" x14ac:dyDescent="0.2">
      <c r="B1144" s="91"/>
      <c r="C1144" s="91"/>
      <c r="D1144" s="91"/>
      <c r="E1144" s="227"/>
      <c r="F1144" s="91"/>
      <c r="G1144" s="91"/>
      <c r="H1144" s="91"/>
      <c r="I1144" s="91"/>
      <c r="J1144" s="91"/>
      <c r="K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c r="FG1144" s="91"/>
      <c r="FH1144" s="91"/>
      <c r="FI1144" s="91"/>
      <c r="FJ1144" s="91"/>
      <c r="FK1144" s="91"/>
      <c r="FL1144" s="91"/>
      <c r="FM1144" s="91"/>
      <c r="FN1144" s="91"/>
      <c r="FO1144" s="91"/>
      <c r="FP1144" s="91"/>
      <c r="FQ1144" s="91"/>
      <c r="FR1144" s="91"/>
      <c r="FS1144" s="91"/>
      <c r="FT1144" s="91"/>
      <c r="FU1144" s="91"/>
      <c r="FV1144" s="91"/>
      <c r="FW1144" s="91"/>
      <c r="FX1144" s="91"/>
      <c r="FY1144" s="91"/>
      <c r="FZ1144" s="91"/>
      <c r="GA1144" s="91"/>
      <c r="GB1144" s="91"/>
      <c r="GC1144" s="91"/>
      <c r="GD1144" s="91"/>
      <c r="GE1144" s="91"/>
      <c r="GF1144" s="91"/>
      <c r="GG1144" s="91"/>
      <c r="GH1144" s="91"/>
      <c r="GI1144" s="91"/>
      <c r="GJ1144" s="91"/>
      <c r="GK1144" s="91"/>
      <c r="GL1144" s="91"/>
      <c r="GM1144" s="91"/>
      <c r="GN1144" s="91"/>
      <c r="GO1144" s="91"/>
      <c r="GP1144" s="91"/>
      <c r="GQ1144" s="91"/>
      <c r="GR1144" s="91"/>
      <c r="GS1144" s="91"/>
      <c r="GT1144" s="91"/>
      <c r="GU1144" s="91"/>
      <c r="GV1144" s="91"/>
      <c r="GW1144" s="91"/>
      <c r="GX1144" s="91"/>
      <c r="GY1144" s="91"/>
      <c r="GZ1144" s="91"/>
      <c r="HA1144" s="91"/>
      <c r="HB1144" s="91"/>
      <c r="HC1144" s="91"/>
      <c r="HD1144" s="91"/>
      <c r="HE1144" s="91"/>
      <c r="HF1144" s="91"/>
      <c r="HG1144" s="91"/>
      <c r="HH1144" s="91"/>
      <c r="HI1144" s="91"/>
      <c r="HJ1144" s="91"/>
      <c r="HK1144" s="91"/>
      <c r="HL1144" s="91"/>
      <c r="HM1144" s="91"/>
      <c r="HN1144" s="91"/>
      <c r="HO1144" s="91"/>
      <c r="HP1144" s="91"/>
      <c r="HQ1144" s="91"/>
      <c r="HR1144" s="91"/>
      <c r="HS1144" s="91"/>
      <c r="HT1144" s="91"/>
      <c r="HU1144" s="91"/>
      <c r="HV1144" s="91"/>
      <c r="HW1144" s="91"/>
      <c r="HX1144" s="91"/>
      <c r="HY1144" s="91"/>
      <c r="HZ1144" s="91"/>
      <c r="IA1144" s="91"/>
      <c r="IB1144" s="91"/>
      <c r="IC1144" s="91"/>
      <c r="ID1144" s="91"/>
      <c r="IE1144" s="91"/>
    </row>
    <row r="1145" spans="2:239" ht="15" x14ac:dyDescent="0.2">
      <c r="B1145" s="91"/>
      <c r="C1145" s="91"/>
      <c r="D1145" s="91"/>
      <c r="E1145" s="227"/>
      <c r="F1145" s="91"/>
      <c r="G1145" s="91"/>
      <c r="H1145" s="91"/>
      <c r="I1145" s="91"/>
      <c r="J1145" s="91"/>
      <c r="K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c r="FB1145" s="91"/>
      <c r="FC1145" s="91"/>
      <c r="FD1145" s="91"/>
      <c r="FE1145" s="91"/>
      <c r="FF1145" s="91"/>
      <c r="FG1145" s="91"/>
      <c r="FH1145" s="91"/>
      <c r="FI1145" s="91"/>
      <c r="FJ1145" s="91"/>
      <c r="FK1145" s="91"/>
      <c r="FL1145" s="91"/>
      <c r="FM1145" s="91"/>
      <c r="FN1145" s="91"/>
      <c r="FO1145" s="91"/>
      <c r="FP1145" s="91"/>
      <c r="FQ1145" s="91"/>
      <c r="FR1145" s="91"/>
      <c r="FS1145" s="91"/>
      <c r="FT1145" s="91"/>
      <c r="FU1145" s="91"/>
      <c r="FV1145" s="91"/>
      <c r="FW1145" s="91"/>
      <c r="FX1145" s="91"/>
      <c r="FY1145" s="91"/>
      <c r="FZ1145" s="91"/>
      <c r="GA1145" s="91"/>
      <c r="GB1145" s="91"/>
      <c r="GC1145" s="91"/>
      <c r="GD1145" s="91"/>
      <c r="GE1145" s="91"/>
      <c r="GF1145" s="91"/>
      <c r="GG1145" s="91"/>
      <c r="GH1145" s="91"/>
      <c r="GI1145" s="91"/>
      <c r="GJ1145" s="91"/>
      <c r="GK1145" s="91"/>
      <c r="GL1145" s="91"/>
      <c r="GM1145" s="91"/>
      <c r="GN1145" s="91"/>
      <c r="GO1145" s="91"/>
      <c r="GP1145" s="91"/>
      <c r="GQ1145" s="91"/>
      <c r="GR1145" s="91"/>
      <c r="GS1145" s="91"/>
      <c r="GT1145" s="91"/>
      <c r="GU1145" s="91"/>
      <c r="GV1145" s="91"/>
      <c r="GW1145" s="91"/>
      <c r="GX1145" s="91"/>
      <c r="GY1145" s="91"/>
      <c r="GZ1145" s="91"/>
      <c r="HA1145" s="91"/>
      <c r="HB1145" s="91"/>
      <c r="HC1145" s="91"/>
      <c r="HD1145" s="91"/>
      <c r="HE1145" s="91"/>
      <c r="HF1145" s="91"/>
      <c r="HG1145" s="91"/>
      <c r="HH1145" s="91"/>
      <c r="HI1145" s="91"/>
      <c r="HJ1145" s="91"/>
      <c r="HK1145" s="91"/>
      <c r="HL1145" s="91"/>
      <c r="HM1145" s="91"/>
      <c r="HN1145" s="91"/>
      <c r="HO1145" s="91"/>
      <c r="HP1145" s="91"/>
      <c r="HQ1145" s="91"/>
      <c r="HR1145" s="91"/>
      <c r="HS1145" s="91"/>
      <c r="HT1145" s="91"/>
      <c r="HU1145" s="91"/>
      <c r="HV1145" s="91"/>
      <c r="HW1145" s="91"/>
      <c r="HX1145" s="91"/>
      <c r="HY1145" s="91"/>
      <c r="HZ1145" s="91"/>
      <c r="IA1145" s="91"/>
      <c r="IB1145" s="91"/>
      <c r="IC1145" s="91"/>
      <c r="ID1145" s="91"/>
      <c r="IE1145" s="91"/>
    </row>
    <row r="1146" spans="2:239" ht="15" x14ac:dyDescent="0.2">
      <c r="B1146" s="91"/>
      <c r="C1146" s="91"/>
      <c r="D1146" s="91"/>
      <c r="E1146" s="227"/>
      <c r="F1146" s="91"/>
      <c r="G1146" s="91"/>
      <c r="H1146" s="91"/>
      <c r="I1146" s="91"/>
      <c r="J1146" s="91"/>
      <c r="K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c r="FB1146" s="91"/>
      <c r="FC1146" s="91"/>
      <c r="FD1146" s="91"/>
      <c r="FE1146" s="91"/>
      <c r="FF1146" s="91"/>
      <c r="FG1146" s="91"/>
      <c r="FH1146" s="91"/>
      <c r="FI1146" s="91"/>
      <c r="FJ1146" s="91"/>
      <c r="FK1146" s="91"/>
      <c r="FL1146" s="91"/>
      <c r="FM1146" s="91"/>
      <c r="FN1146" s="91"/>
      <c r="FO1146" s="91"/>
      <c r="FP1146" s="91"/>
      <c r="FQ1146" s="91"/>
      <c r="FR1146" s="91"/>
      <c r="FS1146" s="91"/>
      <c r="FT1146" s="91"/>
      <c r="FU1146" s="91"/>
      <c r="FV1146" s="91"/>
      <c r="FW1146" s="91"/>
      <c r="FX1146" s="91"/>
      <c r="FY1146" s="91"/>
      <c r="FZ1146" s="91"/>
      <c r="GA1146" s="91"/>
      <c r="GB1146" s="91"/>
      <c r="GC1146" s="91"/>
      <c r="GD1146" s="91"/>
      <c r="GE1146" s="91"/>
      <c r="GF1146" s="91"/>
      <c r="GG1146" s="91"/>
      <c r="GH1146" s="91"/>
      <c r="GI1146" s="91"/>
      <c r="GJ1146" s="91"/>
      <c r="GK1146" s="91"/>
      <c r="GL1146" s="91"/>
      <c r="GM1146" s="91"/>
      <c r="GN1146" s="91"/>
      <c r="GO1146" s="91"/>
      <c r="GP1146" s="91"/>
      <c r="GQ1146" s="91"/>
      <c r="GR1146" s="91"/>
      <c r="GS1146" s="91"/>
      <c r="GT1146" s="91"/>
      <c r="GU1146" s="91"/>
      <c r="GV1146" s="91"/>
      <c r="GW1146" s="91"/>
      <c r="GX1146" s="91"/>
      <c r="GY1146" s="91"/>
      <c r="GZ1146" s="91"/>
      <c r="HA1146" s="91"/>
      <c r="HB1146" s="91"/>
      <c r="HC1146" s="91"/>
      <c r="HD1146" s="91"/>
      <c r="HE1146" s="91"/>
      <c r="HF1146" s="91"/>
      <c r="HG1146" s="91"/>
      <c r="HH1146" s="91"/>
      <c r="HI1146" s="91"/>
      <c r="HJ1146" s="91"/>
      <c r="HK1146" s="91"/>
      <c r="HL1146" s="91"/>
      <c r="HM1146" s="91"/>
      <c r="HN1146" s="91"/>
      <c r="HO1146" s="91"/>
      <c r="HP1146" s="91"/>
      <c r="HQ1146" s="91"/>
      <c r="HR1146" s="91"/>
      <c r="HS1146" s="91"/>
      <c r="HT1146" s="91"/>
      <c r="HU1146" s="91"/>
      <c r="HV1146" s="91"/>
      <c r="HW1146" s="91"/>
      <c r="HX1146" s="91"/>
      <c r="HY1146" s="91"/>
      <c r="HZ1146" s="91"/>
      <c r="IA1146" s="91"/>
      <c r="IB1146" s="91"/>
      <c r="IC1146" s="91"/>
      <c r="ID1146" s="91"/>
      <c r="IE1146" s="91"/>
    </row>
    <row r="1147" spans="2:239" ht="15" x14ac:dyDescent="0.2">
      <c r="B1147" s="91"/>
      <c r="C1147" s="91"/>
      <c r="D1147" s="91"/>
      <c r="E1147" s="227"/>
      <c r="F1147" s="91"/>
      <c r="G1147" s="91"/>
      <c r="H1147" s="91"/>
      <c r="I1147" s="91"/>
      <c r="J1147" s="91"/>
      <c r="K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c r="FB1147" s="91"/>
      <c r="FC1147" s="91"/>
      <c r="FD1147" s="91"/>
      <c r="FE1147" s="91"/>
      <c r="FF1147" s="91"/>
      <c r="FG1147" s="91"/>
      <c r="FH1147" s="91"/>
      <c r="FI1147" s="91"/>
      <c r="FJ1147" s="91"/>
      <c r="FK1147" s="91"/>
      <c r="FL1147" s="91"/>
      <c r="FM1147" s="91"/>
      <c r="FN1147" s="91"/>
      <c r="FO1147" s="91"/>
      <c r="FP1147" s="91"/>
      <c r="FQ1147" s="91"/>
      <c r="FR1147" s="91"/>
      <c r="FS1147" s="91"/>
      <c r="FT1147" s="91"/>
      <c r="FU1147" s="91"/>
      <c r="FV1147" s="91"/>
      <c r="FW1147" s="91"/>
      <c r="FX1147" s="91"/>
      <c r="FY1147" s="91"/>
      <c r="FZ1147" s="91"/>
      <c r="GA1147" s="91"/>
      <c r="GB1147" s="91"/>
      <c r="GC1147" s="91"/>
      <c r="GD1147" s="91"/>
      <c r="GE1147" s="91"/>
      <c r="GF1147" s="91"/>
      <c r="GG1147" s="91"/>
      <c r="GH1147" s="91"/>
      <c r="GI1147" s="91"/>
      <c r="GJ1147" s="91"/>
      <c r="GK1147" s="91"/>
      <c r="GL1147" s="91"/>
      <c r="GM1147" s="91"/>
      <c r="GN1147" s="91"/>
      <c r="GO1147" s="91"/>
      <c r="GP1147" s="91"/>
      <c r="GQ1147" s="91"/>
      <c r="GR1147" s="91"/>
      <c r="GS1147" s="91"/>
      <c r="GT1147" s="91"/>
      <c r="GU1147" s="91"/>
      <c r="GV1147" s="91"/>
      <c r="GW1147" s="91"/>
      <c r="GX1147" s="91"/>
      <c r="GY1147" s="91"/>
      <c r="GZ1147" s="91"/>
      <c r="HA1147" s="91"/>
      <c r="HB1147" s="91"/>
      <c r="HC1147" s="91"/>
      <c r="HD1147" s="91"/>
      <c r="HE1147" s="91"/>
      <c r="HF1147" s="91"/>
      <c r="HG1147" s="91"/>
      <c r="HH1147" s="91"/>
      <c r="HI1147" s="91"/>
      <c r="HJ1147" s="91"/>
      <c r="HK1147" s="91"/>
      <c r="HL1147" s="91"/>
      <c r="HM1147" s="91"/>
      <c r="HN1147" s="91"/>
      <c r="HO1147" s="91"/>
      <c r="HP1147" s="91"/>
      <c r="HQ1147" s="91"/>
      <c r="HR1147" s="91"/>
      <c r="HS1147" s="91"/>
      <c r="HT1147" s="91"/>
      <c r="HU1147" s="91"/>
      <c r="HV1147" s="91"/>
      <c r="HW1147" s="91"/>
      <c r="HX1147" s="91"/>
      <c r="HY1147" s="91"/>
      <c r="HZ1147" s="91"/>
      <c r="IA1147" s="91"/>
      <c r="IB1147" s="91"/>
      <c r="IC1147" s="91"/>
      <c r="ID1147" s="91"/>
      <c r="IE1147" s="91"/>
    </row>
    <row r="1148" spans="2:239" ht="15" x14ac:dyDescent="0.2">
      <c r="B1148" s="91"/>
      <c r="C1148" s="91"/>
      <c r="D1148" s="91"/>
      <c r="E1148" s="227"/>
      <c r="F1148" s="91"/>
      <c r="G1148" s="91"/>
      <c r="H1148" s="91"/>
      <c r="I1148" s="91"/>
      <c r="J1148" s="91"/>
      <c r="K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HP1148" s="91"/>
      <c r="HQ1148" s="91"/>
      <c r="HR1148" s="91"/>
      <c r="HS1148" s="91"/>
      <c r="HT1148" s="91"/>
      <c r="HU1148" s="91"/>
      <c r="HV1148" s="91"/>
      <c r="HW1148" s="91"/>
      <c r="HX1148" s="91"/>
      <c r="HY1148" s="91"/>
      <c r="HZ1148" s="91"/>
      <c r="IA1148" s="91"/>
      <c r="IB1148" s="91"/>
      <c r="IC1148" s="91"/>
      <c r="ID1148" s="91"/>
      <c r="IE1148" s="91"/>
    </row>
    <row r="1149" spans="2:239" ht="15" x14ac:dyDescent="0.2">
      <c r="B1149" s="91"/>
      <c r="C1149" s="91"/>
      <c r="D1149" s="91"/>
      <c r="E1149" s="227"/>
      <c r="F1149" s="91"/>
      <c r="G1149" s="91"/>
      <c r="H1149" s="91"/>
      <c r="I1149" s="91"/>
      <c r="J1149" s="91"/>
      <c r="K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c r="FB1149" s="91"/>
      <c r="FC1149" s="91"/>
      <c r="FD1149" s="91"/>
      <c r="FE1149" s="91"/>
      <c r="FF1149" s="91"/>
      <c r="FG1149" s="91"/>
      <c r="FH1149" s="91"/>
      <c r="FI1149" s="91"/>
      <c r="FJ1149" s="91"/>
      <c r="FK1149" s="91"/>
      <c r="FL1149" s="91"/>
      <c r="FM1149" s="91"/>
      <c r="FN1149" s="91"/>
      <c r="FO1149" s="91"/>
      <c r="FP1149" s="91"/>
      <c r="FQ1149" s="91"/>
      <c r="FR1149" s="91"/>
      <c r="FS1149" s="91"/>
      <c r="FT1149" s="91"/>
      <c r="FU1149" s="91"/>
      <c r="FV1149" s="91"/>
      <c r="FW1149" s="91"/>
      <c r="FX1149" s="91"/>
      <c r="FY1149" s="91"/>
      <c r="FZ1149" s="91"/>
      <c r="GA1149" s="91"/>
      <c r="GB1149" s="91"/>
      <c r="GC1149" s="91"/>
      <c r="GD1149" s="91"/>
      <c r="GE1149" s="91"/>
      <c r="GF1149" s="91"/>
      <c r="GG1149" s="91"/>
      <c r="GH1149" s="91"/>
      <c r="GI1149" s="91"/>
      <c r="GJ1149" s="91"/>
      <c r="GK1149" s="91"/>
      <c r="GL1149" s="91"/>
      <c r="GM1149" s="91"/>
      <c r="GN1149" s="91"/>
      <c r="GO1149" s="91"/>
      <c r="GP1149" s="91"/>
      <c r="GQ1149" s="91"/>
      <c r="GR1149" s="91"/>
      <c r="GS1149" s="91"/>
      <c r="GT1149" s="91"/>
      <c r="GU1149" s="91"/>
      <c r="GV1149" s="91"/>
      <c r="GW1149" s="91"/>
      <c r="GX1149" s="91"/>
      <c r="GY1149" s="91"/>
      <c r="GZ1149" s="91"/>
      <c r="HA1149" s="91"/>
      <c r="HB1149" s="91"/>
      <c r="HC1149" s="91"/>
      <c r="HD1149" s="91"/>
      <c r="HE1149" s="91"/>
      <c r="HF1149" s="91"/>
      <c r="HG1149" s="91"/>
      <c r="HH1149" s="91"/>
      <c r="HI1149" s="91"/>
      <c r="HJ1149" s="91"/>
      <c r="HK1149" s="91"/>
      <c r="HL1149" s="91"/>
      <c r="HM1149" s="91"/>
      <c r="HN1149" s="91"/>
      <c r="HO1149" s="91"/>
      <c r="HP1149" s="91"/>
      <c r="HQ1149" s="91"/>
      <c r="HR1149" s="91"/>
      <c r="HS1149" s="91"/>
      <c r="HT1149" s="91"/>
      <c r="HU1149" s="91"/>
      <c r="HV1149" s="91"/>
      <c r="HW1149" s="91"/>
      <c r="HX1149" s="91"/>
      <c r="HY1149" s="91"/>
      <c r="HZ1149" s="91"/>
      <c r="IA1149" s="91"/>
      <c r="IB1149" s="91"/>
      <c r="IC1149" s="91"/>
      <c r="ID1149" s="91"/>
      <c r="IE1149" s="91"/>
    </row>
    <row r="1150" spans="2:239" ht="15" x14ac:dyDescent="0.2">
      <c r="B1150" s="91"/>
      <c r="C1150" s="91"/>
      <c r="D1150" s="91"/>
      <c r="E1150" s="227"/>
      <c r="F1150" s="91"/>
      <c r="G1150" s="91"/>
      <c r="H1150" s="91"/>
      <c r="I1150" s="91"/>
      <c r="J1150" s="91"/>
      <c r="K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c r="FB1150" s="91"/>
      <c r="FC1150" s="91"/>
      <c r="FD1150" s="91"/>
      <c r="FE1150" s="91"/>
      <c r="FF1150" s="91"/>
      <c r="FG1150" s="91"/>
      <c r="FH1150" s="91"/>
      <c r="FI1150" s="91"/>
      <c r="FJ1150" s="91"/>
      <c r="FK1150" s="91"/>
      <c r="FL1150" s="91"/>
      <c r="FM1150" s="91"/>
      <c r="FN1150" s="91"/>
      <c r="FO1150" s="91"/>
      <c r="FP1150" s="91"/>
      <c r="FQ1150" s="91"/>
      <c r="FR1150" s="91"/>
      <c r="FS1150" s="91"/>
      <c r="FT1150" s="91"/>
      <c r="FU1150" s="91"/>
      <c r="FV1150" s="91"/>
      <c r="FW1150" s="91"/>
      <c r="FX1150" s="91"/>
      <c r="FY1150" s="91"/>
      <c r="FZ1150" s="91"/>
      <c r="GA1150" s="91"/>
      <c r="GB1150" s="91"/>
      <c r="GC1150" s="91"/>
      <c r="GD1150" s="91"/>
      <c r="GE1150" s="91"/>
      <c r="GF1150" s="91"/>
      <c r="GG1150" s="91"/>
      <c r="GH1150" s="91"/>
      <c r="GI1150" s="91"/>
      <c r="GJ1150" s="91"/>
      <c r="GK1150" s="91"/>
      <c r="GL1150" s="91"/>
      <c r="GM1150" s="91"/>
      <c r="GN1150" s="91"/>
      <c r="GO1150" s="91"/>
      <c r="GP1150" s="91"/>
      <c r="GQ1150" s="91"/>
      <c r="GR1150" s="91"/>
      <c r="GS1150" s="91"/>
      <c r="GT1150" s="91"/>
      <c r="GU1150" s="91"/>
      <c r="GV1150" s="91"/>
      <c r="GW1150" s="91"/>
      <c r="GX1150" s="91"/>
      <c r="GY1150" s="91"/>
      <c r="GZ1150" s="91"/>
      <c r="HA1150" s="91"/>
      <c r="HB1150" s="91"/>
      <c r="HC1150" s="91"/>
      <c r="HD1150" s="91"/>
      <c r="HE1150" s="91"/>
      <c r="HF1150" s="91"/>
      <c r="HG1150" s="91"/>
      <c r="HH1150" s="91"/>
      <c r="HI1150" s="91"/>
      <c r="HJ1150" s="91"/>
      <c r="HK1150" s="91"/>
      <c r="HL1150" s="91"/>
      <c r="HM1150" s="91"/>
      <c r="HN1150" s="91"/>
      <c r="HO1150" s="91"/>
      <c r="HP1150" s="91"/>
      <c r="HQ1150" s="91"/>
      <c r="HR1150" s="91"/>
      <c r="HS1150" s="91"/>
      <c r="HT1150" s="91"/>
      <c r="HU1150" s="91"/>
      <c r="HV1150" s="91"/>
      <c r="HW1150" s="91"/>
      <c r="HX1150" s="91"/>
      <c r="HY1150" s="91"/>
      <c r="HZ1150" s="91"/>
      <c r="IA1150" s="91"/>
      <c r="IB1150" s="91"/>
      <c r="IC1150" s="91"/>
      <c r="ID1150" s="91"/>
      <c r="IE1150" s="91"/>
    </row>
    <row r="1151" spans="2:239" ht="15" x14ac:dyDescent="0.2">
      <c r="B1151" s="91"/>
      <c r="C1151" s="91"/>
      <c r="D1151" s="91"/>
      <c r="E1151" s="227"/>
      <c r="F1151" s="91"/>
      <c r="G1151" s="91"/>
      <c r="H1151" s="91"/>
      <c r="I1151" s="91"/>
      <c r="J1151" s="91"/>
      <c r="K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c r="FB1151" s="91"/>
      <c r="FC1151" s="91"/>
      <c r="FD1151" s="91"/>
      <c r="FE1151" s="91"/>
      <c r="FF1151" s="91"/>
      <c r="FG1151" s="91"/>
      <c r="FH1151" s="91"/>
      <c r="FI1151" s="91"/>
      <c r="FJ1151" s="91"/>
      <c r="FK1151" s="91"/>
      <c r="FL1151" s="91"/>
      <c r="FM1151" s="91"/>
      <c r="FN1151" s="91"/>
      <c r="FO1151" s="91"/>
      <c r="FP1151" s="91"/>
      <c r="FQ1151" s="91"/>
      <c r="FR1151" s="91"/>
      <c r="FS1151" s="91"/>
      <c r="FT1151" s="91"/>
      <c r="FU1151" s="91"/>
      <c r="FV1151" s="91"/>
      <c r="FW1151" s="91"/>
      <c r="FX1151" s="91"/>
      <c r="FY1151" s="91"/>
      <c r="FZ1151" s="91"/>
      <c r="GA1151" s="91"/>
      <c r="GB1151" s="91"/>
      <c r="GC1151" s="91"/>
      <c r="GD1151" s="91"/>
      <c r="GE1151" s="91"/>
      <c r="GF1151" s="91"/>
      <c r="GG1151" s="91"/>
      <c r="GH1151" s="91"/>
      <c r="GI1151" s="91"/>
      <c r="GJ1151" s="91"/>
      <c r="GK1151" s="91"/>
      <c r="GL1151" s="91"/>
      <c r="GM1151" s="91"/>
      <c r="GN1151" s="91"/>
      <c r="GO1151" s="91"/>
      <c r="GP1151" s="91"/>
      <c r="GQ1151" s="91"/>
      <c r="GR1151" s="91"/>
      <c r="GS1151" s="91"/>
      <c r="GT1151" s="91"/>
      <c r="GU1151" s="91"/>
      <c r="GV1151" s="91"/>
      <c r="GW1151" s="91"/>
      <c r="GX1151" s="91"/>
      <c r="GY1151" s="91"/>
      <c r="GZ1151" s="91"/>
      <c r="HA1151" s="91"/>
      <c r="HB1151" s="91"/>
      <c r="HC1151" s="91"/>
      <c r="HD1151" s="91"/>
      <c r="HE1151" s="91"/>
      <c r="HF1151" s="91"/>
      <c r="HG1151" s="91"/>
      <c r="HH1151" s="91"/>
      <c r="HI1151" s="91"/>
      <c r="HJ1151" s="91"/>
      <c r="HK1151" s="91"/>
      <c r="HL1151" s="91"/>
      <c r="HM1151" s="91"/>
      <c r="HN1151" s="91"/>
      <c r="HO1151" s="91"/>
      <c r="HP1151" s="91"/>
      <c r="HQ1151" s="91"/>
      <c r="HR1151" s="91"/>
      <c r="HS1151" s="91"/>
      <c r="HT1151" s="91"/>
      <c r="HU1151" s="91"/>
      <c r="HV1151" s="91"/>
      <c r="HW1151" s="91"/>
      <c r="HX1151" s="91"/>
      <c r="HY1151" s="91"/>
      <c r="HZ1151" s="91"/>
      <c r="IA1151" s="91"/>
      <c r="IB1151" s="91"/>
      <c r="IC1151" s="91"/>
      <c r="ID1151" s="91"/>
      <c r="IE1151" s="91"/>
    </row>
    <row r="1152" spans="2:239" ht="15" x14ac:dyDescent="0.2">
      <c r="B1152" s="91"/>
      <c r="C1152" s="91"/>
      <c r="D1152" s="91"/>
      <c r="E1152" s="227"/>
      <c r="F1152" s="91"/>
      <c r="G1152" s="91"/>
      <c r="H1152" s="91"/>
      <c r="I1152" s="91"/>
      <c r="J1152" s="91"/>
      <c r="K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row>
    <row r="1153" spans="2:239" ht="15" x14ac:dyDescent="0.2">
      <c r="B1153" s="91"/>
      <c r="C1153" s="91"/>
      <c r="D1153" s="91"/>
      <c r="E1153" s="227"/>
      <c r="F1153" s="91"/>
      <c r="G1153" s="91"/>
      <c r="H1153" s="91"/>
      <c r="I1153" s="91"/>
      <c r="J1153" s="91"/>
      <c r="K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c r="FB1153" s="91"/>
      <c r="FC1153" s="91"/>
      <c r="FD1153" s="91"/>
      <c r="FE1153" s="91"/>
      <c r="FF1153" s="91"/>
      <c r="FG1153" s="91"/>
      <c r="FH1153" s="91"/>
      <c r="FI1153" s="91"/>
      <c r="FJ1153" s="91"/>
      <c r="FK1153" s="91"/>
      <c r="FL1153" s="91"/>
      <c r="FM1153" s="91"/>
      <c r="FN1153" s="91"/>
      <c r="FO1153" s="91"/>
      <c r="FP1153" s="91"/>
      <c r="FQ1153" s="91"/>
      <c r="FR1153" s="91"/>
      <c r="FS1153" s="91"/>
      <c r="FT1153" s="91"/>
      <c r="FU1153" s="91"/>
      <c r="FV1153" s="91"/>
      <c r="FW1153" s="91"/>
      <c r="FX1153" s="91"/>
      <c r="FY1153" s="91"/>
      <c r="FZ1153" s="91"/>
      <c r="GA1153" s="91"/>
      <c r="GB1153" s="91"/>
      <c r="GC1153" s="91"/>
      <c r="GD1153" s="91"/>
      <c r="GE1153" s="91"/>
      <c r="GF1153" s="91"/>
      <c r="GG1153" s="91"/>
      <c r="GH1153" s="91"/>
      <c r="GI1153" s="91"/>
      <c r="GJ1153" s="91"/>
      <c r="GK1153" s="91"/>
      <c r="GL1153" s="91"/>
      <c r="GM1153" s="91"/>
      <c r="GN1153" s="91"/>
      <c r="GO1153" s="91"/>
      <c r="GP1153" s="91"/>
      <c r="GQ1153" s="91"/>
      <c r="GR1153" s="91"/>
      <c r="GS1153" s="91"/>
      <c r="GT1153" s="91"/>
      <c r="GU1153" s="91"/>
      <c r="GV1153" s="91"/>
      <c r="GW1153" s="91"/>
      <c r="GX1153" s="91"/>
      <c r="GY1153" s="91"/>
      <c r="GZ1153" s="91"/>
      <c r="HA1153" s="91"/>
      <c r="HB1153" s="91"/>
      <c r="HC1153" s="91"/>
      <c r="HD1153" s="91"/>
      <c r="HE1153" s="91"/>
      <c r="HF1153" s="91"/>
      <c r="HG1153" s="91"/>
      <c r="HH1153" s="91"/>
      <c r="HI1153" s="91"/>
      <c r="HJ1153" s="91"/>
      <c r="HK1153" s="91"/>
      <c r="HL1153" s="91"/>
      <c r="HM1153" s="91"/>
      <c r="HN1153" s="91"/>
      <c r="HO1153" s="91"/>
      <c r="HP1153" s="91"/>
      <c r="HQ1153" s="91"/>
      <c r="HR1153" s="91"/>
      <c r="HS1153" s="91"/>
      <c r="HT1153" s="91"/>
      <c r="HU1153" s="91"/>
      <c r="HV1153" s="91"/>
      <c r="HW1153" s="91"/>
      <c r="HX1153" s="91"/>
      <c r="HY1153" s="91"/>
      <c r="HZ1153" s="91"/>
      <c r="IA1153" s="91"/>
      <c r="IB1153" s="91"/>
      <c r="IC1153" s="91"/>
      <c r="ID1153" s="91"/>
      <c r="IE1153" s="91"/>
    </row>
    <row r="1154" spans="2:239" ht="15" x14ac:dyDescent="0.2">
      <c r="B1154" s="91"/>
      <c r="C1154" s="91"/>
      <c r="D1154" s="91"/>
      <c r="E1154" s="227"/>
      <c r="F1154" s="91"/>
      <c r="G1154" s="91"/>
      <c r="H1154" s="91"/>
      <c r="I1154" s="91"/>
      <c r="J1154" s="91"/>
      <c r="K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c r="FB1154" s="91"/>
      <c r="FC1154" s="91"/>
      <c r="FD1154" s="91"/>
      <c r="FE1154" s="91"/>
      <c r="FF1154" s="91"/>
      <c r="FG1154" s="91"/>
      <c r="FH1154" s="91"/>
      <c r="FI1154" s="91"/>
      <c r="FJ1154" s="91"/>
      <c r="FK1154" s="91"/>
      <c r="FL1154" s="91"/>
      <c r="FM1154" s="91"/>
      <c r="FN1154" s="91"/>
      <c r="FO1154" s="91"/>
      <c r="FP1154" s="91"/>
      <c r="FQ1154" s="91"/>
      <c r="FR1154" s="91"/>
      <c r="FS1154" s="91"/>
      <c r="FT1154" s="91"/>
      <c r="FU1154" s="91"/>
      <c r="FV1154" s="91"/>
      <c r="FW1154" s="91"/>
      <c r="FX1154" s="91"/>
      <c r="FY1154" s="91"/>
      <c r="FZ1154" s="91"/>
      <c r="GA1154" s="91"/>
      <c r="GB1154" s="91"/>
      <c r="GC1154" s="91"/>
      <c r="GD1154" s="91"/>
      <c r="GE1154" s="91"/>
      <c r="GF1154" s="91"/>
      <c r="GG1154" s="91"/>
      <c r="GH1154" s="91"/>
      <c r="GI1154" s="91"/>
      <c r="GJ1154" s="91"/>
      <c r="GK1154" s="91"/>
      <c r="GL1154" s="91"/>
      <c r="GM1154" s="91"/>
      <c r="GN1154" s="91"/>
      <c r="GO1154" s="91"/>
      <c r="GP1154" s="91"/>
      <c r="GQ1154" s="91"/>
      <c r="GR1154" s="91"/>
      <c r="GS1154" s="91"/>
      <c r="GT1154" s="91"/>
      <c r="GU1154" s="91"/>
      <c r="GV1154" s="91"/>
      <c r="GW1154" s="91"/>
      <c r="GX1154" s="91"/>
      <c r="GY1154" s="91"/>
      <c r="GZ1154" s="91"/>
      <c r="HA1154" s="91"/>
      <c r="HB1154" s="91"/>
      <c r="HC1154" s="91"/>
      <c r="HD1154" s="91"/>
      <c r="HE1154" s="91"/>
      <c r="HF1154" s="91"/>
      <c r="HG1154" s="91"/>
      <c r="HH1154" s="91"/>
      <c r="HI1154" s="91"/>
      <c r="HJ1154" s="91"/>
      <c r="HK1154" s="91"/>
      <c r="HL1154" s="91"/>
      <c r="HM1154" s="91"/>
      <c r="HN1154" s="91"/>
      <c r="HO1154" s="91"/>
      <c r="HP1154" s="91"/>
      <c r="HQ1154" s="91"/>
      <c r="HR1154" s="91"/>
      <c r="HS1154" s="91"/>
      <c r="HT1154" s="91"/>
      <c r="HU1154" s="91"/>
      <c r="HV1154" s="91"/>
      <c r="HW1154" s="91"/>
      <c r="HX1154" s="91"/>
      <c r="HY1154" s="91"/>
      <c r="HZ1154" s="91"/>
      <c r="IA1154" s="91"/>
      <c r="IB1154" s="91"/>
      <c r="IC1154" s="91"/>
      <c r="ID1154" s="91"/>
      <c r="IE1154" s="91"/>
    </row>
    <row r="1155" spans="2:239" ht="15" x14ac:dyDescent="0.2">
      <c r="B1155" s="91"/>
      <c r="C1155" s="91"/>
      <c r="D1155" s="91"/>
      <c r="E1155" s="227"/>
      <c r="F1155" s="91"/>
      <c r="G1155" s="91"/>
      <c r="H1155" s="91"/>
      <c r="I1155" s="91"/>
      <c r="J1155" s="91"/>
      <c r="K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c r="FB1155" s="91"/>
      <c r="FC1155" s="91"/>
      <c r="FD1155" s="91"/>
      <c r="FE1155" s="91"/>
      <c r="FF1155" s="91"/>
      <c r="FG1155" s="91"/>
      <c r="FH1155" s="91"/>
      <c r="FI1155" s="91"/>
      <c r="FJ1155" s="91"/>
      <c r="FK1155" s="91"/>
      <c r="FL1155" s="91"/>
      <c r="FM1155" s="91"/>
      <c r="FN1155" s="91"/>
      <c r="FO1155" s="91"/>
      <c r="FP1155" s="91"/>
      <c r="FQ1155" s="91"/>
      <c r="FR1155" s="91"/>
      <c r="FS1155" s="91"/>
      <c r="FT1155" s="91"/>
      <c r="FU1155" s="91"/>
      <c r="FV1155" s="91"/>
      <c r="FW1155" s="91"/>
      <c r="FX1155" s="91"/>
      <c r="FY1155" s="91"/>
      <c r="FZ1155" s="91"/>
      <c r="GA1155" s="91"/>
      <c r="GB1155" s="91"/>
      <c r="GC1155" s="91"/>
      <c r="GD1155" s="91"/>
      <c r="GE1155" s="91"/>
      <c r="GF1155" s="91"/>
      <c r="GG1155" s="91"/>
      <c r="GH1155" s="91"/>
      <c r="GI1155" s="91"/>
      <c r="GJ1155" s="91"/>
      <c r="GK1155" s="91"/>
      <c r="GL1155" s="91"/>
      <c r="GM1155" s="91"/>
      <c r="GN1155" s="91"/>
      <c r="GO1155" s="91"/>
      <c r="GP1155" s="91"/>
      <c r="GQ1155" s="91"/>
      <c r="GR1155" s="91"/>
      <c r="GS1155" s="91"/>
      <c r="GT1155" s="91"/>
      <c r="GU1155" s="91"/>
      <c r="GV1155" s="91"/>
      <c r="GW1155" s="91"/>
      <c r="GX1155" s="91"/>
      <c r="GY1155" s="91"/>
      <c r="GZ1155" s="91"/>
      <c r="HA1155" s="91"/>
      <c r="HB1155" s="91"/>
      <c r="HC1155" s="91"/>
      <c r="HD1155" s="91"/>
      <c r="HE1155" s="91"/>
      <c r="HF1155" s="91"/>
      <c r="HG1155" s="91"/>
      <c r="HH1155" s="91"/>
      <c r="HI1155" s="91"/>
      <c r="HJ1155" s="91"/>
      <c r="HK1155" s="91"/>
      <c r="HL1155" s="91"/>
      <c r="HM1155" s="91"/>
      <c r="HN1155" s="91"/>
      <c r="HO1155" s="91"/>
      <c r="HP1155" s="91"/>
      <c r="HQ1155" s="91"/>
      <c r="HR1155" s="91"/>
      <c r="HS1155" s="91"/>
      <c r="HT1155" s="91"/>
      <c r="HU1155" s="91"/>
      <c r="HV1155" s="91"/>
      <c r="HW1155" s="91"/>
      <c r="HX1155" s="91"/>
      <c r="HY1155" s="91"/>
      <c r="HZ1155" s="91"/>
      <c r="IA1155" s="91"/>
      <c r="IB1155" s="91"/>
      <c r="IC1155" s="91"/>
      <c r="ID1155" s="91"/>
      <c r="IE1155" s="91"/>
    </row>
    <row r="1156" spans="2:239" ht="15" x14ac:dyDescent="0.2">
      <c r="B1156" s="91"/>
      <c r="C1156" s="91"/>
      <c r="D1156" s="91"/>
      <c r="E1156" s="227"/>
      <c r="F1156" s="91"/>
      <c r="G1156" s="91"/>
      <c r="H1156" s="91"/>
      <c r="I1156" s="91"/>
      <c r="J1156" s="91"/>
      <c r="K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row>
    <row r="1157" spans="2:239" ht="15" x14ac:dyDescent="0.2">
      <c r="B1157" s="91"/>
      <c r="C1157" s="91"/>
      <c r="D1157" s="91"/>
      <c r="E1157" s="227"/>
      <c r="F1157" s="91"/>
      <c r="G1157" s="91"/>
      <c r="H1157" s="91"/>
      <c r="I1157" s="91"/>
      <c r="J1157" s="91"/>
      <c r="K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c r="FB1157" s="91"/>
      <c r="FC1157" s="91"/>
      <c r="FD1157" s="91"/>
      <c r="FE1157" s="91"/>
      <c r="FF1157" s="91"/>
      <c r="FG1157" s="91"/>
      <c r="FH1157" s="91"/>
      <c r="FI1157" s="91"/>
      <c r="FJ1157" s="91"/>
      <c r="FK1157" s="91"/>
      <c r="FL1157" s="91"/>
      <c r="FM1157" s="91"/>
      <c r="FN1157" s="91"/>
      <c r="FO1157" s="91"/>
      <c r="FP1157" s="91"/>
      <c r="FQ1157" s="91"/>
      <c r="FR1157" s="91"/>
      <c r="FS1157" s="91"/>
      <c r="FT1157" s="91"/>
      <c r="FU1157" s="91"/>
      <c r="FV1157" s="91"/>
      <c r="FW1157" s="91"/>
      <c r="FX1157" s="91"/>
      <c r="FY1157" s="91"/>
      <c r="FZ1157" s="91"/>
      <c r="GA1157" s="91"/>
      <c r="GB1157" s="91"/>
      <c r="GC1157" s="91"/>
      <c r="GD1157" s="91"/>
      <c r="GE1157" s="91"/>
      <c r="GF1157" s="91"/>
      <c r="GG1157" s="91"/>
      <c r="GH1157" s="91"/>
      <c r="GI1157" s="91"/>
      <c r="GJ1157" s="91"/>
      <c r="GK1157" s="91"/>
      <c r="GL1157" s="91"/>
      <c r="GM1157" s="91"/>
      <c r="GN1157" s="91"/>
      <c r="GO1157" s="91"/>
      <c r="GP1157" s="91"/>
      <c r="GQ1157" s="91"/>
      <c r="GR1157" s="91"/>
      <c r="GS1157" s="91"/>
      <c r="GT1157" s="91"/>
      <c r="GU1157" s="91"/>
      <c r="GV1157" s="91"/>
      <c r="GW1157" s="91"/>
      <c r="GX1157" s="91"/>
      <c r="GY1157" s="91"/>
      <c r="GZ1157" s="91"/>
      <c r="HA1157" s="91"/>
      <c r="HB1157" s="91"/>
      <c r="HC1157" s="91"/>
      <c r="HD1157" s="91"/>
      <c r="HE1157" s="91"/>
      <c r="HF1157" s="91"/>
      <c r="HG1157" s="91"/>
      <c r="HH1157" s="91"/>
      <c r="HI1157" s="91"/>
      <c r="HJ1157" s="91"/>
      <c r="HK1157" s="91"/>
      <c r="HL1157" s="91"/>
      <c r="HM1157" s="91"/>
      <c r="HN1157" s="91"/>
      <c r="HO1157" s="91"/>
      <c r="HP1157" s="91"/>
      <c r="HQ1157" s="91"/>
      <c r="HR1157" s="91"/>
      <c r="HS1157" s="91"/>
      <c r="HT1157" s="91"/>
      <c r="HU1157" s="91"/>
      <c r="HV1157" s="91"/>
      <c r="HW1157" s="91"/>
      <c r="HX1157" s="91"/>
      <c r="HY1157" s="91"/>
      <c r="HZ1157" s="91"/>
      <c r="IA1157" s="91"/>
      <c r="IB1157" s="91"/>
      <c r="IC1157" s="91"/>
      <c r="ID1157" s="91"/>
      <c r="IE1157" s="91"/>
    </row>
    <row r="1158" spans="2:239" ht="15" x14ac:dyDescent="0.2">
      <c r="B1158" s="91"/>
      <c r="C1158" s="91"/>
      <c r="D1158" s="91"/>
      <c r="E1158" s="227"/>
      <c r="F1158" s="91"/>
      <c r="G1158" s="91"/>
      <c r="H1158" s="91"/>
      <c r="I1158" s="91"/>
      <c r="J1158" s="91"/>
      <c r="K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c r="FB1158" s="91"/>
      <c r="FC1158" s="91"/>
      <c r="FD1158" s="91"/>
      <c r="FE1158" s="91"/>
      <c r="FF1158" s="91"/>
      <c r="FG1158" s="91"/>
      <c r="FH1158" s="91"/>
      <c r="FI1158" s="91"/>
      <c r="FJ1158" s="91"/>
      <c r="FK1158" s="91"/>
      <c r="FL1158" s="91"/>
      <c r="FM1158" s="91"/>
      <c r="FN1158" s="91"/>
      <c r="FO1158" s="91"/>
      <c r="FP1158" s="91"/>
      <c r="FQ1158" s="91"/>
      <c r="FR1158" s="91"/>
      <c r="FS1158" s="91"/>
      <c r="FT1158" s="91"/>
      <c r="FU1158" s="91"/>
      <c r="FV1158" s="91"/>
      <c r="FW1158" s="91"/>
      <c r="FX1158" s="91"/>
      <c r="FY1158" s="91"/>
      <c r="FZ1158" s="91"/>
      <c r="GA1158" s="91"/>
      <c r="GB1158" s="91"/>
      <c r="GC1158" s="91"/>
      <c r="GD1158" s="91"/>
      <c r="GE1158" s="91"/>
      <c r="GF1158" s="91"/>
      <c r="GG1158" s="91"/>
      <c r="GH1158" s="91"/>
      <c r="GI1158" s="91"/>
      <c r="GJ1158" s="91"/>
      <c r="GK1158" s="91"/>
      <c r="GL1158" s="91"/>
      <c r="GM1158" s="91"/>
      <c r="GN1158" s="91"/>
      <c r="GO1158" s="91"/>
      <c r="GP1158" s="91"/>
      <c r="GQ1158" s="91"/>
      <c r="GR1158" s="91"/>
      <c r="GS1158" s="91"/>
      <c r="GT1158" s="91"/>
      <c r="GU1158" s="91"/>
      <c r="GV1158" s="91"/>
      <c r="GW1158" s="91"/>
      <c r="GX1158" s="91"/>
      <c r="GY1158" s="91"/>
      <c r="GZ1158" s="91"/>
      <c r="HA1158" s="91"/>
      <c r="HB1158" s="91"/>
      <c r="HC1158" s="91"/>
      <c r="HD1158" s="91"/>
      <c r="HE1158" s="91"/>
      <c r="HF1158" s="91"/>
      <c r="HG1158" s="91"/>
      <c r="HH1158" s="91"/>
      <c r="HI1158" s="91"/>
      <c r="HJ1158" s="91"/>
      <c r="HK1158" s="91"/>
      <c r="HL1158" s="91"/>
      <c r="HM1158" s="91"/>
      <c r="HN1158" s="91"/>
      <c r="HO1158" s="91"/>
      <c r="HP1158" s="91"/>
      <c r="HQ1158" s="91"/>
      <c r="HR1158" s="91"/>
      <c r="HS1158" s="91"/>
      <c r="HT1158" s="91"/>
      <c r="HU1158" s="91"/>
      <c r="HV1158" s="91"/>
      <c r="HW1158" s="91"/>
      <c r="HX1158" s="91"/>
      <c r="HY1158" s="91"/>
      <c r="HZ1158" s="91"/>
      <c r="IA1158" s="91"/>
      <c r="IB1158" s="91"/>
      <c r="IC1158" s="91"/>
      <c r="ID1158" s="91"/>
      <c r="IE1158" s="91"/>
    </row>
    <row r="1159" spans="2:239" ht="15" x14ac:dyDescent="0.2">
      <c r="B1159" s="91"/>
      <c r="C1159" s="91"/>
      <c r="D1159" s="91"/>
      <c r="E1159" s="227"/>
      <c r="F1159" s="91"/>
      <c r="G1159" s="91"/>
      <c r="H1159" s="91"/>
      <c r="I1159" s="91"/>
      <c r="J1159" s="91"/>
      <c r="K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c r="FB1159" s="91"/>
      <c r="FC1159" s="91"/>
      <c r="FD1159" s="91"/>
      <c r="FE1159" s="91"/>
      <c r="FF1159" s="91"/>
      <c r="FG1159" s="91"/>
      <c r="FH1159" s="91"/>
      <c r="FI1159" s="91"/>
      <c r="FJ1159" s="91"/>
      <c r="FK1159" s="91"/>
      <c r="FL1159" s="91"/>
      <c r="FM1159" s="91"/>
      <c r="FN1159" s="91"/>
      <c r="FO1159" s="91"/>
      <c r="FP1159" s="91"/>
      <c r="FQ1159" s="91"/>
      <c r="FR1159" s="91"/>
      <c r="FS1159" s="91"/>
      <c r="FT1159" s="91"/>
      <c r="FU1159" s="91"/>
      <c r="FV1159" s="91"/>
      <c r="FW1159" s="91"/>
      <c r="FX1159" s="91"/>
      <c r="FY1159" s="91"/>
      <c r="FZ1159" s="91"/>
      <c r="GA1159" s="91"/>
      <c r="GB1159" s="91"/>
      <c r="GC1159" s="91"/>
      <c r="GD1159" s="91"/>
      <c r="GE1159" s="91"/>
      <c r="GF1159" s="91"/>
      <c r="GG1159" s="91"/>
      <c r="GH1159" s="91"/>
      <c r="GI1159" s="91"/>
      <c r="GJ1159" s="91"/>
      <c r="GK1159" s="91"/>
      <c r="GL1159" s="91"/>
      <c r="GM1159" s="91"/>
      <c r="GN1159" s="91"/>
      <c r="GO1159" s="91"/>
      <c r="GP1159" s="91"/>
      <c r="GQ1159" s="91"/>
      <c r="GR1159" s="91"/>
      <c r="GS1159" s="91"/>
      <c r="GT1159" s="91"/>
      <c r="GU1159" s="91"/>
      <c r="GV1159" s="91"/>
      <c r="GW1159" s="91"/>
      <c r="GX1159" s="91"/>
      <c r="GY1159" s="91"/>
      <c r="GZ1159" s="91"/>
      <c r="HA1159" s="91"/>
      <c r="HB1159" s="91"/>
      <c r="HC1159" s="91"/>
      <c r="HD1159" s="91"/>
      <c r="HE1159" s="91"/>
      <c r="HF1159" s="91"/>
      <c r="HG1159" s="91"/>
      <c r="HH1159" s="91"/>
      <c r="HI1159" s="91"/>
      <c r="HJ1159" s="91"/>
      <c r="HK1159" s="91"/>
      <c r="HL1159" s="91"/>
      <c r="HM1159" s="91"/>
      <c r="HN1159" s="91"/>
      <c r="HO1159" s="91"/>
      <c r="HP1159" s="91"/>
      <c r="HQ1159" s="91"/>
      <c r="HR1159" s="91"/>
      <c r="HS1159" s="91"/>
      <c r="HT1159" s="91"/>
      <c r="HU1159" s="91"/>
      <c r="HV1159" s="91"/>
      <c r="HW1159" s="91"/>
      <c r="HX1159" s="91"/>
      <c r="HY1159" s="91"/>
      <c r="HZ1159" s="91"/>
      <c r="IA1159" s="91"/>
      <c r="IB1159" s="91"/>
      <c r="IC1159" s="91"/>
      <c r="ID1159" s="91"/>
      <c r="IE1159" s="91"/>
    </row>
    <row r="1160" spans="2:239" ht="15" x14ac:dyDescent="0.2">
      <c r="B1160" s="91"/>
      <c r="C1160" s="91"/>
      <c r="D1160" s="91"/>
      <c r="E1160" s="227"/>
      <c r="F1160" s="91"/>
      <c r="G1160" s="91"/>
      <c r="H1160" s="91"/>
      <c r="I1160" s="91"/>
      <c r="J1160" s="91"/>
      <c r="K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c r="FB1160" s="91"/>
      <c r="FC1160" s="91"/>
      <c r="FD1160" s="91"/>
      <c r="FE1160" s="91"/>
      <c r="FF1160" s="91"/>
      <c r="FG1160" s="91"/>
      <c r="FH1160" s="91"/>
      <c r="FI1160" s="91"/>
      <c r="FJ1160" s="91"/>
      <c r="FK1160" s="91"/>
      <c r="FL1160" s="91"/>
      <c r="FM1160" s="91"/>
      <c r="FN1160" s="91"/>
      <c r="FO1160" s="91"/>
      <c r="FP1160" s="91"/>
      <c r="FQ1160" s="91"/>
      <c r="FR1160" s="91"/>
      <c r="FS1160" s="91"/>
      <c r="FT1160" s="91"/>
      <c r="FU1160" s="91"/>
      <c r="FV1160" s="91"/>
      <c r="FW1160" s="91"/>
      <c r="FX1160" s="91"/>
      <c r="FY1160" s="91"/>
      <c r="FZ1160" s="91"/>
      <c r="GA1160" s="91"/>
      <c r="GB1160" s="91"/>
      <c r="GC1160" s="91"/>
      <c r="GD1160" s="91"/>
      <c r="GE1160" s="91"/>
      <c r="GF1160" s="91"/>
      <c r="GG1160" s="91"/>
      <c r="GH1160" s="91"/>
      <c r="GI1160" s="91"/>
      <c r="GJ1160" s="91"/>
      <c r="GK1160" s="91"/>
      <c r="GL1160" s="91"/>
      <c r="GM1160" s="91"/>
      <c r="GN1160" s="91"/>
      <c r="GO1160" s="91"/>
      <c r="GP1160" s="91"/>
      <c r="GQ1160" s="91"/>
      <c r="GR1160" s="91"/>
      <c r="GS1160" s="91"/>
      <c r="GT1160" s="91"/>
      <c r="GU1160" s="91"/>
      <c r="GV1160" s="91"/>
      <c r="GW1160" s="91"/>
      <c r="GX1160" s="91"/>
      <c r="GY1160" s="91"/>
      <c r="GZ1160" s="91"/>
      <c r="HA1160" s="91"/>
      <c r="HB1160" s="91"/>
      <c r="HC1160" s="91"/>
      <c r="HD1160" s="91"/>
      <c r="HE1160" s="91"/>
      <c r="HF1160" s="91"/>
      <c r="HG1160" s="91"/>
      <c r="HH1160" s="91"/>
      <c r="HI1160" s="91"/>
      <c r="HJ1160" s="91"/>
      <c r="HK1160" s="91"/>
      <c r="HL1160" s="91"/>
      <c r="HM1160" s="91"/>
      <c r="HN1160" s="91"/>
      <c r="HO1160" s="91"/>
      <c r="HP1160" s="91"/>
      <c r="HQ1160" s="91"/>
      <c r="HR1160" s="91"/>
      <c r="HS1160" s="91"/>
      <c r="HT1160" s="91"/>
      <c r="HU1160" s="91"/>
      <c r="HV1160" s="91"/>
      <c r="HW1160" s="91"/>
      <c r="HX1160" s="91"/>
      <c r="HY1160" s="91"/>
      <c r="HZ1160" s="91"/>
      <c r="IA1160" s="91"/>
      <c r="IB1160" s="91"/>
      <c r="IC1160" s="91"/>
      <c r="ID1160" s="91"/>
      <c r="IE1160" s="91"/>
    </row>
    <row r="1161" spans="2:239" ht="15" x14ac:dyDescent="0.2">
      <c r="B1161" s="91"/>
      <c r="C1161" s="91"/>
      <c r="D1161" s="91"/>
      <c r="E1161" s="227"/>
      <c r="F1161" s="91"/>
      <c r="G1161" s="91"/>
      <c r="H1161" s="91"/>
      <c r="I1161" s="91"/>
      <c r="J1161" s="91"/>
      <c r="K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c r="FB1161" s="91"/>
      <c r="FC1161" s="91"/>
      <c r="FD1161" s="91"/>
      <c r="FE1161" s="91"/>
      <c r="FF1161" s="91"/>
      <c r="FG1161" s="91"/>
      <c r="FH1161" s="91"/>
      <c r="FI1161" s="91"/>
      <c r="FJ1161" s="91"/>
      <c r="FK1161" s="91"/>
      <c r="FL1161" s="91"/>
      <c r="FM1161" s="91"/>
      <c r="FN1161" s="91"/>
      <c r="FO1161" s="91"/>
      <c r="FP1161" s="91"/>
      <c r="FQ1161" s="91"/>
      <c r="FR1161" s="91"/>
      <c r="FS1161" s="91"/>
      <c r="FT1161" s="91"/>
      <c r="FU1161" s="91"/>
      <c r="FV1161" s="91"/>
      <c r="FW1161" s="91"/>
      <c r="FX1161" s="91"/>
      <c r="FY1161" s="91"/>
      <c r="FZ1161" s="91"/>
      <c r="GA1161" s="91"/>
      <c r="GB1161" s="91"/>
      <c r="GC1161" s="91"/>
      <c r="GD1161" s="91"/>
      <c r="GE1161" s="91"/>
      <c r="GF1161" s="91"/>
      <c r="GG1161" s="91"/>
      <c r="GH1161" s="91"/>
      <c r="GI1161" s="91"/>
      <c r="GJ1161" s="91"/>
      <c r="GK1161" s="91"/>
      <c r="GL1161" s="91"/>
      <c r="GM1161" s="91"/>
      <c r="GN1161" s="91"/>
      <c r="GO1161" s="91"/>
      <c r="GP1161" s="91"/>
      <c r="GQ1161" s="91"/>
      <c r="GR1161" s="91"/>
      <c r="GS1161" s="91"/>
      <c r="GT1161" s="91"/>
      <c r="GU1161" s="91"/>
      <c r="GV1161" s="91"/>
      <c r="GW1161" s="91"/>
      <c r="GX1161" s="91"/>
      <c r="GY1161" s="91"/>
      <c r="GZ1161" s="91"/>
      <c r="HA1161" s="91"/>
      <c r="HB1161" s="91"/>
      <c r="HC1161" s="91"/>
      <c r="HD1161" s="91"/>
      <c r="HE1161" s="91"/>
      <c r="HF1161" s="91"/>
      <c r="HG1161" s="91"/>
      <c r="HH1161" s="91"/>
      <c r="HI1161" s="91"/>
      <c r="HJ1161" s="91"/>
      <c r="HK1161" s="91"/>
      <c r="HL1161" s="91"/>
      <c r="HM1161" s="91"/>
      <c r="HN1161" s="91"/>
      <c r="HO1161" s="91"/>
      <c r="HP1161" s="91"/>
      <c r="HQ1161" s="91"/>
      <c r="HR1161" s="91"/>
      <c r="HS1161" s="91"/>
      <c r="HT1161" s="91"/>
      <c r="HU1161" s="91"/>
      <c r="HV1161" s="91"/>
      <c r="HW1161" s="91"/>
      <c r="HX1161" s="91"/>
      <c r="HY1161" s="91"/>
      <c r="HZ1161" s="91"/>
      <c r="IA1161" s="91"/>
      <c r="IB1161" s="91"/>
      <c r="IC1161" s="91"/>
      <c r="ID1161" s="91"/>
      <c r="IE1161" s="91"/>
    </row>
    <row r="1162" spans="2:239" ht="15" x14ac:dyDescent="0.2">
      <c r="B1162" s="91"/>
      <c r="C1162" s="91"/>
      <c r="D1162" s="91"/>
      <c r="E1162" s="227"/>
      <c r="F1162" s="91"/>
      <c r="G1162" s="91"/>
      <c r="H1162" s="91"/>
      <c r="I1162" s="91"/>
      <c r="J1162" s="91"/>
      <c r="K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row>
    <row r="1163" spans="2:239" ht="15" x14ac:dyDescent="0.2">
      <c r="B1163" s="91"/>
      <c r="C1163" s="91"/>
      <c r="D1163" s="91"/>
      <c r="E1163" s="227"/>
      <c r="F1163" s="91"/>
      <c r="G1163" s="91"/>
      <c r="H1163" s="91"/>
      <c r="I1163" s="91"/>
      <c r="J1163" s="91"/>
      <c r="K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c r="FB1163" s="91"/>
      <c r="FC1163" s="91"/>
      <c r="FD1163" s="91"/>
      <c r="FE1163" s="91"/>
      <c r="FF1163" s="91"/>
      <c r="FG1163" s="91"/>
      <c r="FH1163" s="91"/>
      <c r="FI1163" s="91"/>
      <c r="FJ1163" s="91"/>
      <c r="FK1163" s="91"/>
      <c r="FL1163" s="91"/>
      <c r="FM1163" s="91"/>
      <c r="FN1163" s="91"/>
      <c r="FO1163" s="91"/>
      <c r="FP1163" s="91"/>
      <c r="FQ1163" s="91"/>
      <c r="FR1163" s="91"/>
      <c r="FS1163" s="91"/>
      <c r="FT1163" s="91"/>
      <c r="FU1163" s="91"/>
      <c r="FV1163" s="91"/>
      <c r="FW1163" s="91"/>
      <c r="FX1163" s="91"/>
      <c r="FY1163" s="91"/>
      <c r="FZ1163" s="91"/>
      <c r="GA1163" s="91"/>
      <c r="GB1163" s="91"/>
      <c r="GC1163" s="91"/>
      <c r="GD1163" s="91"/>
      <c r="GE1163" s="91"/>
      <c r="GF1163" s="91"/>
      <c r="GG1163" s="91"/>
      <c r="GH1163" s="91"/>
      <c r="GI1163" s="91"/>
      <c r="GJ1163" s="91"/>
      <c r="GK1163" s="91"/>
      <c r="GL1163" s="91"/>
      <c r="GM1163" s="91"/>
      <c r="GN1163" s="91"/>
      <c r="GO1163" s="91"/>
      <c r="GP1163" s="91"/>
      <c r="GQ1163" s="91"/>
      <c r="GR1163" s="91"/>
      <c r="GS1163" s="91"/>
      <c r="GT1163" s="91"/>
      <c r="GU1163" s="91"/>
      <c r="GV1163" s="91"/>
      <c r="GW1163" s="91"/>
      <c r="GX1163" s="91"/>
      <c r="GY1163" s="91"/>
      <c r="GZ1163" s="91"/>
      <c r="HA1163" s="91"/>
      <c r="HB1163" s="91"/>
      <c r="HC1163" s="91"/>
      <c r="HD1163" s="91"/>
      <c r="HE1163" s="91"/>
      <c r="HF1163" s="91"/>
      <c r="HG1163" s="91"/>
      <c r="HH1163" s="91"/>
      <c r="HI1163" s="91"/>
      <c r="HJ1163" s="91"/>
      <c r="HK1163" s="91"/>
      <c r="HL1163" s="91"/>
      <c r="HM1163" s="91"/>
      <c r="HN1163" s="91"/>
      <c r="HO1163" s="91"/>
      <c r="HP1163" s="91"/>
      <c r="HQ1163" s="91"/>
      <c r="HR1163" s="91"/>
      <c r="HS1163" s="91"/>
      <c r="HT1163" s="91"/>
      <c r="HU1163" s="91"/>
      <c r="HV1163" s="91"/>
      <c r="HW1163" s="91"/>
      <c r="HX1163" s="91"/>
      <c r="HY1163" s="91"/>
      <c r="HZ1163" s="91"/>
      <c r="IA1163" s="91"/>
      <c r="IB1163" s="91"/>
      <c r="IC1163" s="91"/>
      <c r="ID1163" s="91"/>
      <c r="IE1163" s="91"/>
    </row>
    <row r="1164" spans="2:239" ht="15" x14ac:dyDescent="0.2">
      <c r="B1164" s="91"/>
      <c r="C1164" s="91"/>
      <c r="D1164" s="91"/>
      <c r="E1164" s="227"/>
      <c r="F1164" s="91"/>
      <c r="G1164" s="91"/>
      <c r="H1164" s="91"/>
      <c r="I1164" s="91"/>
      <c r="J1164" s="91"/>
      <c r="K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c r="FB1164" s="91"/>
      <c r="FC1164" s="91"/>
      <c r="FD1164" s="91"/>
      <c r="FE1164" s="91"/>
      <c r="FF1164" s="91"/>
      <c r="FG1164" s="91"/>
      <c r="FH1164" s="91"/>
      <c r="FI1164" s="91"/>
      <c r="FJ1164" s="91"/>
      <c r="FK1164" s="91"/>
      <c r="FL1164" s="91"/>
      <c r="FM1164" s="91"/>
      <c r="FN1164" s="91"/>
      <c r="FO1164" s="91"/>
      <c r="FP1164" s="91"/>
      <c r="FQ1164" s="91"/>
      <c r="FR1164" s="91"/>
      <c r="FS1164" s="91"/>
      <c r="FT1164" s="91"/>
      <c r="FU1164" s="91"/>
      <c r="FV1164" s="91"/>
      <c r="FW1164" s="91"/>
      <c r="FX1164" s="91"/>
      <c r="FY1164" s="91"/>
      <c r="FZ1164" s="91"/>
      <c r="GA1164" s="91"/>
      <c r="GB1164" s="91"/>
      <c r="GC1164" s="91"/>
      <c r="GD1164" s="91"/>
      <c r="GE1164" s="91"/>
      <c r="GF1164" s="91"/>
      <c r="GG1164" s="91"/>
      <c r="GH1164" s="91"/>
      <c r="GI1164" s="91"/>
      <c r="GJ1164" s="91"/>
      <c r="GK1164" s="91"/>
      <c r="GL1164" s="91"/>
      <c r="GM1164" s="91"/>
      <c r="GN1164" s="91"/>
      <c r="GO1164" s="91"/>
      <c r="GP1164" s="91"/>
      <c r="GQ1164" s="91"/>
      <c r="GR1164" s="91"/>
      <c r="GS1164" s="91"/>
      <c r="GT1164" s="91"/>
      <c r="GU1164" s="91"/>
      <c r="GV1164" s="91"/>
      <c r="GW1164" s="91"/>
      <c r="GX1164" s="91"/>
      <c r="GY1164" s="91"/>
      <c r="GZ1164" s="91"/>
      <c r="HA1164" s="91"/>
      <c r="HB1164" s="91"/>
      <c r="HC1164" s="91"/>
      <c r="HD1164" s="91"/>
      <c r="HE1164" s="91"/>
      <c r="HF1164" s="91"/>
      <c r="HG1164" s="91"/>
      <c r="HH1164" s="91"/>
      <c r="HI1164" s="91"/>
      <c r="HJ1164" s="91"/>
      <c r="HK1164" s="91"/>
      <c r="HL1164" s="91"/>
      <c r="HM1164" s="91"/>
      <c r="HN1164" s="91"/>
      <c r="HO1164" s="91"/>
      <c r="HP1164" s="91"/>
      <c r="HQ1164" s="91"/>
      <c r="HR1164" s="91"/>
      <c r="HS1164" s="91"/>
      <c r="HT1164" s="91"/>
      <c r="HU1164" s="91"/>
      <c r="HV1164" s="91"/>
      <c r="HW1164" s="91"/>
      <c r="HX1164" s="91"/>
      <c r="HY1164" s="91"/>
      <c r="HZ1164" s="91"/>
      <c r="IA1164" s="91"/>
      <c r="IB1164" s="91"/>
      <c r="IC1164" s="91"/>
      <c r="ID1164" s="91"/>
      <c r="IE1164" s="91"/>
    </row>
    <row r="1165" spans="2:239" ht="15" x14ac:dyDescent="0.2">
      <c r="B1165" s="91"/>
      <c r="C1165" s="91"/>
      <c r="D1165" s="91"/>
      <c r="E1165" s="227"/>
      <c r="F1165" s="91"/>
      <c r="G1165" s="91"/>
      <c r="H1165" s="91"/>
      <c r="I1165" s="91"/>
      <c r="J1165" s="91"/>
      <c r="K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c r="FB1165" s="91"/>
      <c r="FC1165" s="91"/>
      <c r="FD1165" s="91"/>
      <c r="FE1165" s="91"/>
      <c r="FF1165" s="91"/>
      <c r="FG1165" s="91"/>
      <c r="FH1165" s="91"/>
      <c r="FI1165" s="91"/>
      <c r="FJ1165" s="91"/>
      <c r="FK1165" s="91"/>
      <c r="FL1165" s="91"/>
      <c r="FM1165" s="91"/>
      <c r="FN1165" s="91"/>
      <c r="FO1165" s="91"/>
      <c r="FP1165" s="91"/>
      <c r="FQ1165" s="91"/>
      <c r="FR1165" s="91"/>
      <c r="FS1165" s="91"/>
      <c r="FT1165" s="91"/>
      <c r="FU1165" s="91"/>
      <c r="FV1165" s="91"/>
      <c r="FW1165" s="91"/>
      <c r="FX1165" s="91"/>
      <c r="FY1165" s="91"/>
      <c r="FZ1165" s="91"/>
      <c r="GA1165" s="91"/>
      <c r="GB1165" s="91"/>
      <c r="GC1165" s="91"/>
      <c r="GD1165" s="91"/>
      <c r="GE1165" s="91"/>
      <c r="GF1165" s="91"/>
      <c r="GG1165" s="91"/>
      <c r="GH1165" s="91"/>
      <c r="GI1165" s="91"/>
      <c r="GJ1165" s="91"/>
      <c r="GK1165" s="91"/>
      <c r="GL1165" s="91"/>
      <c r="GM1165" s="91"/>
      <c r="GN1165" s="91"/>
      <c r="GO1165" s="91"/>
      <c r="GP1165" s="91"/>
      <c r="GQ1165" s="91"/>
      <c r="GR1165" s="91"/>
      <c r="GS1165" s="91"/>
      <c r="GT1165" s="91"/>
      <c r="GU1165" s="91"/>
      <c r="GV1165" s="91"/>
      <c r="GW1165" s="91"/>
      <c r="GX1165" s="91"/>
      <c r="GY1165" s="91"/>
      <c r="GZ1165" s="91"/>
      <c r="HA1165" s="91"/>
      <c r="HB1165" s="91"/>
      <c r="HC1165" s="91"/>
      <c r="HD1165" s="91"/>
      <c r="HE1165" s="91"/>
      <c r="HF1165" s="91"/>
      <c r="HG1165" s="91"/>
      <c r="HH1165" s="91"/>
      <c r="HI1165" s="91"/>
      <c r="HJ1165" s="91"/>
      <c r="HK1165" s="91"/>
      <c r="HL1165" s="91"/>
      <c r="HM1165" s="91"/>
      <c r="HN1165" s="91"/>
      <c r="HO1165" s="91"/>
      <c r="HP1165" s="91"/>
      <c r="HQ1165" s="91"/>
      <c r="HR1165" s="91"/>
      <c r="HS1165" s="91"/>
      <c r="HT1165" s="91"/>
      <c r="HU1165" s="91"/>
      <c r="HV1165" s="91"/>
      <c r="HW1165" s="91"/>
      <c r="HX1165" s="91"/>
      <c r="HY1165" s="91"/>
      <c r="HZ1165" s="91"/>
      <c r="IA1165" s="91"/>
      <c r="IB1165" s="91"/>
      <c r="IC1165" s="91"/>
      <c r="ID1165" s="91"/>
      <c r="IE1165" s="91"/>
    </row>
    <row r="1166" spans="2:239" ht="15" x14ac:dyDescent="0.2">
      <c r="B1166" s="91"/>
      <c r="C1166" s="91"/>
      <c r="D1166" s="91"/>
      <c r="E1166" s="227"/>
      <c r="F1166" s="91"/>
      <c r="G1166" s="91"/>
      <c r="H1166" s="91"/>
      <c r="I1166" s="91"/>
      <c r="J1166" s="91"/>
      <c r="K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c r="FB1166" s="91"/>
      <c r="FC1166" s="91"/>
      <c r="FD1166" s="91"/>
      <c r="FE1166" s="91"/>
      <c r="FF1166" s="91"/>
      <c r="FG1166" s="91"/>
      <c r="FH1166" s="91"/>
      <c r="FI1166" s="91"/>
      <c r="FJ1166" s="91"/>
      <c r="FK1166" s="91"/>
      <c r="FL1166" s="91"/>
      <c r="FM1166" s="91"/>
      <c r="FN1166" s="91"/>
      <c r="FO1166" s="91"/>
      <c r="FP1166" s="91"/>
      <c r="FQ1166" s="91"/>
      <c r="FR1166" s="91"/>
      <c r="FS1166" s="91"/>
      <c r="FT1166" s="91"/>
      <c r="FU1166" s="91"/>
      <c r="FV1166" s="91"/>
      <c r="FW1166" s="91"/>
      <c r="FX1166" s="91"/>
      <c r="FY1166" s="91"/>
      <c r="FZ1166" s="91"/>
      <c r="GA1166" s="91"/>
      <c r="GB1166" s="91"/>
      <c r="GC1166" s="91"/>
      <c r="GD1166" s="91"/>
      <c r="GE1166" s="91"/>
      <c r="GF1166" s="91"/>
      <c r="GG1166" s="91"/>
      <c r="GH1166" s="91"/>
      <c r="GI1166" s="91"/>
      <c r="GJ1166" s="91"/>
      <c r="GK1166" s="91"/>
      <c r="GL1166" s="91"/>
      <c r="GM1166" s="91"/>
      <c r="GN1166" s="91"/>
      <c r="GO1166" s="91"/>
      <c r="GP1166" s="91"/>
      <c r="GQ1166" s="91"/>
      <c r="GR1166" s="91"/>
      <c r="GS1166" s="91"/>
      <c r="GT1166" s="91"/>
      <c r="GU1166" s="91"/>
      <c r="GV1166" s="91"/>
      <c r="GW1166" s="91"/>
      <c r="GX1166" s="91"/>
      <c r="GY1166" s="91"/>
      <c r="GZ1166" s="91"/>
      <c r="HA1166" s="91"/>
      <c r="HB1166" s="91"/>
      <c r="HC1166" s="91"/>
      <c r="HD1166" s="91"/>
      <c r="HE1166" s="91"/>
      <c r="HF1166" s="91"/>
      <c r="HG1166" s="91"/>
      <c r="HH1166" s="91"/>
      <c r="HI1166" s="91"/>
      <c r="HJ1166" s="91"/>
      <c r="HK1166" s="91"/>
      <c r="HL1166" s="91"/>
      <c r="HM1166" s="91"/>
      <c r="HN1166" s="91"/>
      <c r="HO1166" s="91"/>
      <c r="HP1166" s="91"/>
      <c r="HQ1166" s="91"/>
      <c r="HR1166" s="91"/>
      <c r="HS1166" s="91"/>
      <c r="HT1166" s="91"/>
      <c r="HU1166" s="91"/>
      <c r="HV1166" s="91"/>
      <c r="HW1166" s="91"/>
      <c r="HX1166" s="91"/>
      <c r="HY1166" s="91"/>
      <c r="HZ1166" s="91"/>
      <c r="IA1166" s="91"/>
      <c r="IB1166" s="91"/>
      <c r="IC1166" s="91"/>
      <c r="ID1166" s="91"/>
      <c r="IE1166" s="91"/>
    </row>
    <row r="1167" spans="2:239" ht="15" x14ac:dyDescent="0.2">
      <c r="B1167" s="91"/>
      <c r="C1167" s="91"/>
      <c r="D1167" s="91"/>
      <c r="E1167" s="227"/>
      <c r="F1167" s="91"/>
      <c r="G1167" s="91"/>
      <c r="H1167" s="91"/>
      <c r="I1167" s="91"/>
      <c r="J1167" s="91"/>
      <c r="K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c r="FB1167" s="91"/>
      <c r="FC1167" s="91"/>
      <c r="FD1167" s="91"/>
      <c r="FE1167" s="91"/>
      <c r="FF1167" s="91"/>
      <c r="FG1167" s="91"/>
      <c r="FH1167" s="91"/>
      <c r="FI1167" s="91"/>
      <c r="FJ1167" s="91"/>
      <c r="FK1167" s="91"/>
      <c r="FL1167" s="91"/>
      <c r="FM1167" s="91"/>
      <c r="FN1167" s="91"/>
      <c r="FO1167" s="91"/>
      <c r="FP1167" s="91"/>
      <c r="FQ1167" s="91"/>
      <c r="FR1167" s="91"/>
      <c r="FS1167" s="91"/>
      <c r="FT1167" s="91"/>
      <c r="FU1167" s="91"/>
      <c r="FV1167" s="91"/>
      <c r="FW1167" s="91"/>
      <c r="FX1167" s="91"/>
      <c r="FY1167" s="91"/>
      <c r="FZ1167" s="91"/>
      <c r="GA1167" s="91"/>
      <c r="GB1167" s="91"/>
      <c r="GC1167" s="91"/>
      <c r="GD1167" s="91"/>
      <c r="GE1167" s="91"/>
      <c r="GF1167" s="91"/>
      <c r="GG1167" s="91"/>
      <c r="GH1167" s="91"/>
      <c r="GI1167" s="91"/>
      <c r="GJ1167" s="91"/>
      <c r="GK1167" s="91"/>
      <c r="GL1167" s="91"/>
      <c r="GM1167" s="91"/>
      <c r="GN1167" s="91"/>
      <c r="GO1167" s="91"/>
      <c r="GP1167" s="91"/>
      <c r="GQ1167" s="91"/>
      <c r="GR1167" s="91"/>
      <c r="GS1167" s="91"/>
      <c r="GT1167" s="91"/>
      <c r="GU1167" s="91"/>
      <c r="GV1167" s="91"/>
      <c r="GW1167" s="91"/>
      <c r="GX1167" s="91"/>
      <c r="GY1167" s="91"/>
      <c r="GZ1167" s="91"/>
      <c r="HA1167" s="91"/>
      <c r="HB1167" s="91"/>
      <c r="HC1167" s="91"/>
      <c r="HD1167" s="91"/>
      <c r="HE1167" s="91"/>
      <c r="HF1167" s="91"/>
      <c r="HG1167" s="91"/>
      <c r="HH1167" s="91"/>
      <c r="HI1167" s="91"/>
      <c r="HJ1167" s="91"/>
      <c r="HK1167" s="91"/>
      <c r="HL1167" s="91"/>
      <c r="HM1167" s="91"/>
      <c r="HN1167" s="91"/>
      <c r="HO1167" s="91"/>
      <c r="HP1167" s="91"/>
      <c r="HQ1167" s="91"/>
      <c r="HR1167" s="91"/>
      <c r="HS1167" s="91"/>
      <c r="HT1167" s="91"/>
      <c r="HU1167" s="91"/>
      <c r="HV1167" s="91"/>
      <c r="HW1167" s="91"/>
      <c r="HX1167" s="91"/>
      <c r="HY1167" s="91"/>
      <c r="HZ1167" s="91"/>
      <c r="IA1167" s="91"/>
      <c r="IB1167" s="91"/>
      <c r="IC1167" s="91"/>
      <c r="ID1167" s="91"/>
      <c r="IE1167" s="91"/>
    </row>
    <row r="1168" spans="2:239" ht="15" x14ac:dyDescent="0.2">
      <c r="B1168" s="91"/>
      <c r="C1168" s="91"/>
      <c r="D1168" s="91"/>
      <c r="E1168" s="227"/>
      <c r="F1168" s="91"/>
      <c r="G1168" s="91"/>
      <c r="H1168" s="91"/>
      <c r="I1168" s="91"/>
      <c r="J1168" s="91"/>
      <c r="K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c r="FB1168" s="91"/>
      <c r="FC1168" s="91"/>
      <c r="FD1168" s="91"/>
      <c r="FE1168" s="91"/>
      <c r="FF1168" s="91"/>
      <c r="FG1168" s="91"/>
      <c r="FH1168" s="91"/>
      <c r="FI1168" s="91"/>
      <c r="FJ1168" s="91"/>
      <c r="FK1168" s="91"/>
      <c r="FL1168" s="91"/>
      <c r="FM1168" s="91"/>
      <c r="FN1168" s="91"/>
      <c r="FO1168" s="91"/>
      <c r="FP1168" s="91"/>
      <c r="FQ1168" s="91"/>
      <c r="FR1168" s="91"/>
      <c r="FS1168" s="91"/>
      <c r="FT1168" s="91"/>
      <c r="FU1168" s="91"/>
      <c r="FV1168" s="91"/>
      <c r="FW1168" s="91"/>
      <c r="FX1168" s="91"/>
      <c r="FY1168" s="91"/>
      <c r="FZ1168" s="91"/>
      <c r="GA1168" s="91"/>
      <c r="GB1168" s="91"/>
      <c r="GC1168" s="91"/>
      <c r="GD1168" s="91"/>
      <c r="GE1168" s="91"/>
      <c r="GF1168" s="91"/>
      <c r="GG1168" s="91"/>
      <c r="GH1168" s="91"/>
      <c r="GI1168" s="91"/>
      <c r="GJ1168" s="91"/>
      <c r="GK1168" s="91"/>
      <c r="GL1168" s="91"/>
      <c r="GM1168" s="91"/>
      <c r="GN1168" s="91"/>
      <c r="GO1168" s="91"/>
      <c r="GP1168" s="91"/>
      <c r="GQ1168" s="91"/>
      <c r="GR1168" s="91"/>
      <c r="GS1168" s="91"/>
      <c r="GT1168" s="91"/>
      <c r="GU1168" s="91"/>
      <c r="GV1168" s="91"/>
      <c r="GW1168" s="91"/>
      <c r="GX1168" s="91"/>
      <c r="GY1168" s="91"/>
      <c r="GZ1168" s="91"/>
      <c r="HA1168" s="91"/>
      <c r="HB1168" s="91"/>
      <c r="HC1168" s="91"/>
      <c r="HD1168" s="91"/>
      <c r="HE1168" s="91"/>
      <c r="HF1168" s="91"/>
      <c r="HG1168" s="91"/>
      <c r="HH1168" s="91"/>
      <c r="HI1168" s="91"/>
      <c r="HJ1168" s="91"/>
      <c r="HK1168" s="91"/>
      <c r="HL1168" s="91"/>
      <c r="HM1168" s="91"/>
      <c r="HN1168" s="91"/>
      <c r="HO1168" s="91"/>
      <c r="HP1168" s="91"/>
      <c r="HQ1168" s="91"/>
      <c r="HR1168" s="91"/>
      <c r="HS1168" s="91"/>
      <c r="HT1168" s="91"/>
      <c r="HU1168" s="91"/>
      <c r="HV1168" s="91"/>
      <c r="HW1168" s="91"/>
      <c r="HX1168" s="91"/>
      <c r="HY1168" s="91"/>
      <c r="HZ1168" s="91"/>
      <c r="IA1168" s="91"/>
      <c r="IB1168" s="91"/>
      <c r="IC1168" s="91"/>
      <c r="ID1168" s="91"/>
      <c r="IE1168" s="91"/>
    </row>
    <row r="1169" spans="2:239" ht="15" x14ac:dyDescent="0.2">
      <c r="B1169" s="91"/>
      <c r="C1169" s="91"/>
      <c r="D1169" s="91"/>
      <c r="E1169" s="227"/>
      <c r="F1169" s="91"/>
      <c r="G1169" s="91"/>
      <c r="H1169" s="91"/>
      <c r="I1169" s="91"/>
      <c r="J1169" s="91"/>
      <c r="K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c r="FB1169" s="91"/>
      <c r="FC1169" s="91"/>
      <c r="FD1169" s="91"/>
      <c r="FE1169" s="91"/>
      <c r="FF1169" s="91"/>
      <c r="FG1169" s="91"/>
      <c r="FH1169" s="91"/>
      <c r="FI1169" s="91"/>
      <c r="FJ1169" s="91"/>
      <c r="FK1169" s="91"/>
      <c r="FL1169" s="91"/>
      <c r="FM1169" s="91"/>
      <c r="FN1169" s="91"/>
      <c r="FO1169" s="91"/>
      <c r="FP1169" s="91"/>
      <c r="FQ1169" s="91"/>
      <c r="FR1169" s="91"/>
      <c r="FS1169" s="91"/>
      <c r="FT1169" s="91"/>
      <c r="FU1169" s="91"/>
      <c r="FV1169" s="91"/>
      <c r="FW1169" s="91"/>
      <c r="FX1169" s="91"/>
      <c r="FY1169" s="91"/>
      <c r="FZ1169" s="91"/>
      <c r="GA1169" s="91"/>
      <c r="GB1169" s="91"/>
      <c r="GC1169" s="91"/>
      <c r="GD1169" s="91"/>
      <c r="GE1169" s="91"/>
      <c r="GF1169" s="91"/>
      <c r="GG1169" s="91"/>
      <c r="GH1169" s="91"/>
      <c r="GI1169" s="91"/>
      <c r="GJ1169" s="91"/>
      <c r="GK1169" s="91"/>
      <c r="GL1169" s="91"/>
      <c r="GM1169" s="91"/>
      <c r="GN1169" s="91"/>
      <c r="GO1169" s="91"/>
      <c r="GP1169" s="91"/>
      <c r="GQ1169" s="91"/>
      <c r="GR1169" s="91"/>
      <c r="GS1169" s="91"/>
      <c r="GT1169" s="91"/>
      <c r="GU1169" s="91"/>
      <c r="GV1169" s="91"/>
      <c r="GW1169" s="91"/>
      <c r="GX1169" s="91"/>
      <c r="GY1169" s="91"/>
      <c r="GZ1169" s="91"/>
      <c r="HA1169" s="91"/>
      <c r="HB1169" s="91"/>
      <c r="HC1169" s="91"/>
      <c r="HD1169" s="91"/>
      <c r="HE1169" s="91"/>
      <c r="HF1169" s="91"/>
      <c r="HG1169" s="91"/>
      <c r="HH1169" s="91"/>
      <c r="HI1169" s="91"/>
      <c r="HJ1169" s="91"/>
      <c r="HK1169" s="91"/>
      <c r="HL1169" s="91"/>
      <c r="HM1169" s="91"/>
      <c r="HN1169" s="91"/>
      <c r="HO1169" s="91"/>
      <c r="HP1169" s="91"/>
      <c r="HQ1169" s="91"/>
      <c r="HR1169" s="91"/>
      <c r="HS1169" s="91"/>
      <c r="HT1169" s="91"/>
      <c r="HU1169" s="91"/>
      <c r="HV1169" s="91"/>
      <c r="HW1169" s="91"/>
      <c r="HX1169" s="91"/>
      <c r="HY1169" s="91"/>
      <c r="HZ1169" s="91"/>
      <c r="IA1169" s="91"/>
      <c r="IB1169" s="91"/>
      <c r="IC1169" s="91"/>
      <c r="ID1169" s="91"/>
      <c r="IE1169" s="91"/>
    </row>
    <row r="1170" spans="2:239" ht="15" x14ac:dyDescent="0.2">
      <c r="B1170" s="91"/>
      <c r="C1170" s="91"/>
      <c r="D1170" s="91"/>
      <c r="E1170" s="227"/>
      <c r="F1170" s="91"/>
      <c r="G1170" s="91"/>
      <c r="H1170" s="91"/>
      <c r="I1170" s="91"/>
      <c r="J1170" s="91"/>
      <c r="K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c r="FB1170" s="91"/>
      <c r="FC1170" s="91"/>
      <c r="FD1170" s="91"/>
      <c r="FE1170" s="91"/>
      <c r="FF1170" s="91"/>
      <c r="FG1170" s="91"/>
      <c r="FH1170" s="91"/>
      <c r="FI1170" s="91"/>
      <c r="FJ1170" s="91"/>
      <c r="FK1170" s="91"/>
      <c r="FL1170" s="91"/>
      <c r="FM1170" s="91"/>
      <c r="FN1170" s="91"/>
      <c r="FO1170" s="91"/>
      <c r="FP1170" s="91"/>
      <c r="FQ1170" s="91"/>
      <c r="FR1170" s="91"/>
      <c r="FS1170" s="91"/>
      <c r="FT1170" s="91"/>
      <c r="FU1170" s="91"/>
      <c r="FV1170" s="91"/>
      <c r="FW1170" s="91"/>
      <c r="FX1170" s="91"/>
      <c r="FY1170" s="91"/>
      <c r="FZ1170" s="91"/>
      <c r="GA1170" s="91"/>
      <c r="GB1170" s="91"/>
      <c r="GC1170" s="91"/>
      <c r="GD1170" s="91"/>
      <c r="GE1170" s="91"/>
      <c r="GF1170" s="91"/>
      <c r="GG1170" s="91"/>
      <c r="GH1170" s="91"/>
      <c r="GI1170" s="91"/>
      <c r="GJ1170" s="91"/>
      <c r="GK1170" s="91"/>
      <c r="GL1170" s="91"/>
      <c r="GM1170" s="91"/>
      <c r="GN1170" s="91"/>
      <c r="GO1170" s="91"/>
      <c r="GP1170" s="91"/>
      <c r="GQ1170" s="91"/>
      <c r="GR1170" s="91"/>
      <c r="GS1170" s="91"/>
      <c r="GT1170" s="91"/>
      <c r="GU1170" s="91"/>
      <c r="GV1170" s="91"/>
      <c r="GW1170" s="91"/>
      <c r="GX1170" s="91"/>
      <c r="GY1170" s="91"/>
      <c r="GZ1170" s="91"/>
      <c r="HA1170" s="91"/>
      <c r="HB1170" s="91"/>
      <c r="HC1170" s="91"/>
      <c r="HD1170" s="91"/>
      <c r="HE1170" s="91"/>
      <c r="HF1170" s="91"/>
      <c r="HG1170" s="91"/>
      <c r="HH1170" s="91"/>
      <c r="HI1170" s="91"/>
      <c r="HJ1170" s="91"/>
      <c r="HK1170" s="91"/>
      <c r="HL1170" s="91"/>
      <c r="HM1170" s="91"/>
      <c r="HN1170" s="91"/>
      <c r="HO1170" s="91"/>
      <c r="HP1170" s="91"/>
      <c r="HQ1170" s="91"/>
      <c r="HR1170" s="91"/>
      <c r="HS1170" s="91"/>
      <c r="HT1170" s="91"/>
      <c r="HU1170" s="91"/>
      <c r="HV1170" s="91"/>
      <c r="HW1170" s="91"/>
      <c r="HX1170" s="91"/>
      <c r="HY1170" s="91"/>
      <c r="HZ1170" s="91"/>
      <c r="IA1170" s="91"/>
      <c r="IB1170" s="91"/>
      <c r="IC1170" s="91"/>
      <c r="ID1170" s="91"/>
      <c r="IE1170" s="91"/>
    </row>
    <row r="1171" spans="2:239" ht="15" x14ac:dyDescent="0.2">
      <c r="B1171" s="91"/>
      <c r="C1171" s="91"/>
      <c r="D1171" s="91"/>
      <c r="E1171" s="227"/>
      <c r="F1171" s="91"/>
      <c r="G1171" s="91"/>
      <c r="H1171" s="91"/>
      <c r="I1171" s="91"/>
      <c r="J1171" s="91"/>
      <c r="K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c r="FB1171" s="91"/>
      <c r="FC1171" s="91"/>
      <c r="FD1171" s="91"/>
      <c r="FE1171" s="91"/>
      <c r="FF1171" s="91"/>
      <c r="FG1171" s="91"/>
      <c r="FH1171" s="91"/>
      <c r="FI1171" s="91"/>
      <c r="FJ1171" s="91"/>
      <c r="FK1171" s="91"/>
      <c r="FL1171" s="91"/>
      <c r="FM1171" s="91"/>
      <c r="FN1171" s="91"/>
      <c r="FO1171" s="91"/>
      <c r="FP1171" s="91"/>
      <c r="FQ1171" s="91"/>
      <c r="FR1171" s="91"/>
      <c r="FS1171" s="91"/>
      <c r="FT1171" s="91"/>
      <c r="FU1171" s="91"/>
      <c r="FV1171" s="91"/>
      <c r="FW1171" s="91"/>
      <c r="FX1171" s="91"/>
      <c r="FY1171" s="91"/>
      <c r="FZ1171" s="91"/>
      <c r="GA1171" s="91"/>
      <c r="GB1171" s="91"/>
      <c r="GC1171" s="91"/>
      <c r="GD1171" s="91"/>
      <c r="GE1171" s="91"/>
      <c r="GF1171" s="91"/>
      <c r="GG1171" s="91"/>
      <c r="GH1171" s="91"/>
      <c r="GI1171" s="91"/>
      <c r="GJ1171" s="91"/>
      <c r="GK1171" s="91"/>
      <c r="GL1171" s="91"/>
      <c r="GM1171" s="91"/>
      <c r="GN1171" s="91"/>
      <c r="GO1171" s="91"/>
      <c r="GP1171" s="91"/>
      <c r="GQ1171" s="91"/>
      <c r="GR1171" s="91"/>
      <c r="GS1171" s="91"/>
      <c r="GT1171" s="91"/>
      <c r="GU1171" s="91"/>
      <c r="GV1171" s="91"/>
      <c r="GW1171" s="91"/>
      <c r="GX1171" s="91"/>
      <c r="GY1171" s="91"/>
      <c r="GZ1171" s="91"/>
      <c r="HA1171" s="91"/>
      <c r="HB1171" s="91"/>
      <c r="HC1171" s="91"/>
      <c r="HD1171" s="91"/>
      <c r="HE1171" s="91"/>
      <c r="HF1171" s="91"/>
      <c r="HG1171" s="91"/>
      <c r="HH1171" s="91"/>
      <c r="HI1171" s="91"/>
      <c r="HJ1171" s="91"/>
      <c r="HK1171" s="91"/>
      <c r="HL1171" s="91"/>
      <c r="HM1171" s="91"/>
      <c r="HN1171" s="91"/>
      <c r="HO1171" s="91"/>
      <c r="HP1171" s="91"/>
      <c r="HQ1171" s="91"/>
      <c r="HR1171" s="91"/>
      <c r="HS1171" s="91"/>
      <c r="HT1171" s="91"/>
      <c r="HU1171" s="91"/>
      <c r="HV1171" s="91"/>
      <c r="HW1171" s="91"/>
      <c r="HX1171" s="91"/>
      <c r="HY1171" s="91"/>
      <c r="HZ1171" s="91"/>
      <c r="IA1171" s="91"/>
      <c r="IB1171" s="91"/>
      <c r="IC1171" s="91"/>
      <c r="ID1171" s="91"/>
      <c r="IE1171" s="91"/>
    </row>
    <row r="1172" spans="2:239" ht="15" x14ac:dyDescent="0.2">
      <c r="B1172" s="91"/>
      <c r="C1172" s="91"/>
      <c r="D1172" s="91"/>
      <c r="E1172" s="227"/>
      <c r="F1172" s="91"/>
      <c r="G1172" s="91"/>
      <c r="H1172" s="91"/>
      <c r="I1172" s="91"/>
      <c r="J1172" s="91"/>
      <c r="K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c r="FB1172" s="91"/>
      <c r="FC1172" s="91"/>
      <c r="FD1172" s="91"/>
      <c r="FE1172" s="91"/>
      <c r="FF1172" s="91"/>
      <c r="FG1172" s="91"/>
      <c r="FH1172" s="91"/>
      <c r="FI1172" s="91"/>
      <c r="FJ1172" s="91"/>
      <c r="FK1172" s="91"/>
      <c r="FL1172" s="91"/>
      <c r="FM1172" s="91"/>
      <c r="FN1172" s="91"/>
      <c r="FO1172" s="91"/>
      <c r="FP1172" s="91"/>
      <c r="FQ1172" s="91"/>
      <c r="FR1172" s="91"/>
      <c r="FS1172" s="91"/>
      <c r="FT1172" s="91"/>
      <c r="FU1172" s="91"/>
      <c r="FV1172" s="91"/>
      <c r="FW1172" s="91"/>
      <c r="FX1172" s="91"/>
      <c r="FY1172" s="91"/>
      <c r="FZ1172" s="91"/>
      <c r="GA1172" s="91"/>
      <c r="GB1172" s="91"/>
      <c r="GC1172" s="91"/>
      <c r="GD1172" s="91"/>
      <c r="GE1172" s="91"/>
      <c r="GF1172" s="91"/>
      <c r="GG1172" s="91"/>
      <c r="GH1172" s="91"/>
      <c r="GI1172" s="91"/>
      <c r="GJ1172" s="91"/>
      <c r="GK1172" s="91"/>
      <c r="GL1172" s="91"/>
      <c r="GM1172" s="91"/>
      <c r="GN1172" s="91"/>
      <c r="GO1172" s="91"/>
      <c r="GP1172" s="91"/>
      <c r="GQ1172" s="91"/>
      <c r="GR1172" s="91"/>
      <c r="GS1172" s="91"/>
      <c r="GT1172" s="91"/>
      <c r="GU1172" s="91"/>
      <c r="GV1172" s="91"/>
      <c r="GW1172" s="91"/>
      <c r="GX1172" s="91"/>
      <c r="GY1172" s="91"/>
      <c r="GZ1172" s="91"/>
      <c r="HA1172" s="91"/>
      <c r="HB1172" s="91"/>
      <c r="HC1172" s="91"/>
      <c r="HD1172" s="91"/>
      <c r="HE1172" s="91"/>
      <c r="HF1172" s="91"/>
      <c r="HG1172" s="91"/>
      <c r="HH1172" s="91"/>
      <c r="HI1172" s="91"/>
      <c r="HJ1172" s="91"/>
      <c r="HK1172" s="91"/>
      <c r="HL1172" s="91"/>
      <c r="HM1172" s="91"/>
      <c r="HN1172" s="91"/>
      <c r="HO1172" s="91"/>
      <c r="HP1172" s="91"/>
      <c r="HQ1172" s="91"/>
      <c r="HR1172" s="91"/>
      <c r="HS1172" s="91"/>
      <c r="HT1172" s="91"/>
      <c r="HU1172" s="91"/>
      <c r="HV1172" s="91"/>
      <c r="HW1172" s="91"/>
      <c r="HX1172" s="91"/>
      <c r="HY1172" s="91"/>
      <c r="HZ1172" s="91"/>
      <c r="IA1172" s="91"/>
      <c r="IB1172" s="91"/>
      <c r="IC1172" s="91"/>
      <c r="ID1172" s="91"/>
      <c r="IE1172" s="91"/>
    </row>
    <row r="1173" spans="2:239" ht="15" x14ac:dyDescent="0.2">
      <c r="B1173" s="91"/>
      <c r="C1173" s="91"/>
      <c r="D1173" s="91"/>
      <c r="E1173" s="227"/>
      <c r="F1173" s="91"/>
      <c r="G1173" s="91"/>
      <c r="H1173" s="91"/>
      <c r="I1173" s="91"/>
      <c r="J1173" s="91"/>
      <c r="K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c r="FB1173" s="91"/>
      <c r="FC1173" s="91"/>
      <c r="FD1173" s="91"/>
      <c r="FE1173" s="91"/>
      <c r="FF1173" s="91"/>
      <c r="FG1173" s="91"/>
      <c r="FH1173" s="91"/>
      <c r="FI1173" s="91"/>
      <c r="FJ1173" s="91"/>
      <c r="FK1173" s="91"/>
      <c r="FL1173" s="91"/>
      <c r="FM1173" s="91"/>
      <c r="FN1173" s="91"/>
      <c r="FO1173" s="91"/>
      <c r="FP1173" s="91"/>
      <c r="FQ1173" s="91"/>
      <c r="FR1173" s="91"/>
      <c r="FS1173" s="91"/>
      <c r="FT1173" s="91"/>
      <c r="FU1173" s="91"/>
      <c r="FV1173" s="91"/>
      <c r="FW1173" s="91"/>
      <c r="FX1173" s="91"/>
      <c r="FY1173" s="91"/>
      <c r="FZ1173" s="91"/>
      <c r="GA1173" s="91"/>
      <c r="GB1173" s="91"/>
      <c r="GC1173" s="91"/>
      <c r="GD1173" s="91"/>
      <c r="GE1173" s="91"/>
      <c r="GF1173" s="91"/>
      <c r="GG1173" s="91"/>
      <c r="GH1173" s="91"/>
      <c r="GI1173" s="91"/>
      <c r="GJ1173" s="91"/>
      <c r="GK1173" s="91"/>
      <c r="GL1173" s="91"/>
      <c r="GM1173" s="91"/>
      <c r="GN1173" s="91"/>
      <c r="GO1173" s="91"/>
      <c r="GP1173" s="91"/>
      <c r="GQ1173" s="91"/>
      <c r="GR1173" s="91"/>
      <c r="GS1173" s="91"/>
      <c r="GT1173" s="91"/>
      <c r="GU1173" s="91"/>
      <c r="GV1173" s="91"/>
      <c r="GW1173" s="91"/>
      <c r="GX1173" s="91"/>
      <c r="GY1173" s="91"/>
      <c r="GZ1173" s="91"/>
      <c r="HA1173" s="91"/>
      <c r="HB1173" s="91"/>
      <c r="HC1173" s="91"/>
      <c r="HD1173" s="91"/>
      <c r="HE1173" s="91"/>
      <c r="HF1173" s="91"/>
      <c r="HG1173" s="91"/>
      <c r="HH1173" s="91"/>
      <c r="HI1173" s="91"/>
      <c r="HJ1173" s="91"/>
      <c r="HK1173" s="91"/>
      <c r="HL1173" s="91"/>
      <c r="HM1173" s="91"/>
      <c r="HN1173" s="91"/>
      <c r="HO1173" s="91"/>
      <c r="HP1173" s="91"/>
      <c r="HQ1173" s="91"/>
      <c r="HR1173" s="91"/>
      <c r="HS1173" s="91"/>
      <c r="HT1173" s="91"/>
      <c r="HU1173" s="91"/>
      <c r="HV1173" s="91"/>
      <c r="HW1173" s="91"/>
      <c r="HX1173" s="91"/>
      <c r="HY1173" s="91"/>
      <c r="HZ1173" s="91"/>
      <c r="IA1173" s="91"/>
      <c r="IB1173" s="91"/>
      <c r="IC1173" s="91"/>
      <c r="ID1173" s="91"/>
      <c r="IE1173" s="91"/>
    </row>
    <row r="1174" spans="2:239" ht="15" x14ac:dyDescent="0.2">
      <c r="B1174" s="91"/>
      <c r="C1174" s="91"/>
      <c r="D1174" s="91"/>
      <c r="E1174" s="227"/>
      <c r="F1174" s="91"/>
      <c r="G1174" s="91"/>
      <c r="H1174" s="91"/>
      <c r="I1174" s="91"/>
      <c r="J1174" s="91"/>
      <c r="K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c r="FB1174" s="91"/>
      <c r="FC1174" s="91"/>
      <c r="FD1174" s="91"/>
      <c r="FE1174" s="91"/>
      <c r="FF1174" s="91"/>
      <c r="FG1174" s="91"/>
      <c r="FH1174" s="91"/>
      <c r="FI1174" s="91"/>
      <c r="FJ1174" s="91"/>
      <c r="FK1174" s="91"/>
      <c r="FL1174" s="91"/>
      <c r="FM1174" s="91"/>
      <c r="FN1174" s="91"/>
      <c r="FO1174" s="91"/>
      <c r="FP1174" s="91"/>
      <c r="FQ1174" s="91"/>
      <c r="FR1174" s="91"/>
      <c r="FS1174" s="91"/>
      <c r="FT1174" s="91"/>
      <c r="FU1174" s="91"/>
      <c r="FV1174" s="91"/>
      <c r="FW1174" s="91"/>
      <c r="FX1174" s="91"/>
      <c r="FY1174" s="91"/>
      <c r="FZ1174" s="91"/>
      <c r="GA1174" s="91"/>
      <c r="GB1174" s="91"/>
      <c r="GC1174" s="91"/>
      <c r="GD1174" s="91"/>
      <c r="GE1174" s="91"/>
      <c r="GF1174" s="91"/>
      <c r="GG1174" s="91"/>
      <c r="GH1174" s="91"/>
      <c r="GI1174" s="91"/>
      <c r="GJ1174" s="91"/>
      <c r="GK1174" s="91"/>
      <c r="GL1174" s="91"/>
      <c r="GM1174" s="91"/>
      <c r="GN1174" s="91"/>
      <c r="GO1174" s="91"/>
      <c r="GP1174" s="91"/>
      <c r="GQ1174" s="91"/>
      <c r="GR1174" s="91"/>
      <c r="GS1174" s="91"/>
      <c r="GT1174" s="91"/>
      <c r="GU1174" s="91"/>
      <c r="GV1174" s="91"/>
      <c r="GW1174" s="91"/>
      <c r="GX1174" s="91"/>
      <c r="GY1174" s="91"/>
      <c r="GZ1174" s="91"/>
      <c r="HA1174" s="91"/>
      <c r="HB1174" s="91"/>
      <c r="HC1174" s="91"/>
      <c r="HD1174" s="91"/>
      <c r="HE1174" s="91"/>
      <c r="HF1174" s="91"/>
      <c r="HG1174" s="91"/>
      <c r="HH1174" s="91"/>
      <c r="HI1174" s="91"/>
      <c r="HJ1174" s="91"/>
      <c r="HK1174" s="91"/>
      <c r="HL1174" s="91"/>
      <c r="HM1174" s="91"/>
      <c r="HN1174" s="91"/>
      <c r="HO1174" s="91"/>
      <c r="HP1174" s="91"/>
      <c r="HQ1174" s="91"/>
      <c r="HR1174" s="91"/>
      <c r="HS1174" s="91"/>
      <c r="HT1174" s="91"/>
      <c r="HU1174" s="91"/>
      <c r="HV1174" s="91"/>
      <c r="HW1174" s="91"/>
      <c r="HX1174" s="91"/>
      <c r="HY1174" s="91"/>
      <c r="HZ1174" s="91"/>
      <c r="IA1174" s="91"/>
      <c r="IB1174" s="91"/>
      <c r="IC1174" s="91"/>
      <c r="ID1174" s="91"/>
      <c r="IE1174" s="91"/>
    </row>
    <row r="1175" spans="2:239" ht="15" x14ac:dyDescent="0.2">
      <c r="B1175" s="91"/>
      <c r="C1175" s="91"/>
      <c r="D1175" s="91"/>
      <c r="E1175" s="227"/>
      <c r="F1175" s="91"/>
      <c r="G1175" s="91"/>
      <c r="H1175" s="91"/>
      <c r="I1175" s="91"/>
      <c r="J1175" s="91"/>
      <c r="K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c r="FB1175" s="91"/>
      <c r="FC1175" s="91"/>
      <c r="FD1175" s="91"/>
      <c r="FE1175" s="91"/>
      <c r="FF1175" s="91"/>
      <c r="FG1175" s="91"/>
      <c r="FH1175" s="91"/>
      <c r="FI1175" s="91"/>
      <c r="FJ1175" s="91"/>
      <c r="FK1175" s="91"/>
      <c r="FL1175" s="91"/>
      <c r="FM1175" s="91"/>
      <c r="FN1175" s="91"/>
      <c r="FO1175" s="91"/>
      <c r="FP1175" s="91"/>
      <c r="FQ1175" s="91"/>
      <c r="FR1175" s="91"/>
      <c r="FS1175" s="91"/>
      <c r="FT1175" s="91"/>
      <c r="FU1175" s="91"/>
      <c r="FV1175" s="91"/>
      <c r="FW1175" s="91"/>
      <c r="FX1175" s="91"/>
      <c r="FY1175" s="91"/>
      <c r="FZ1175" s="91"/>
      <c r="GA1175" s="91"/>
      <c r="GB1175" s="91"/>
      <c r="GC1175" s="91"/>
      <c r="GD1175" s="91"/>
      <c r="GE1175" s="91"/>
      <c r="GF1175" s="91"/>
      <c r="GG1175" s="91"/>
      <c r="GH1175" s="91"/>
      <c r="GI1175" s="91"/>
      <c r="GJ1175" s="91"/>
      <c r="GK1175" s="91"/>
      <c r="GL1175" s="91"/>
      <c r="GM1175" s="91"/>
      <c r="GN1175" s="91"/>
      <c r="GO1175" s="91"/>
      <c r="GP1175" s="91"/>
      <c r="GQ1175" s="91"/>
      <c r="GR1175" s="91"/>
      <c r="GS1175" s="91"/>
      <c r="GT1175" s="91"/>
      <c r="GU1175" s="91"/>
      <c r="GV1175" s="91"/>
      <c r="GW1175" s="91"/>
      <c r="GX1175" s="91"/>
      <c r="GY1175" s="91"/>
      <c r="GZ1175" s="91"/>
      <c r="HA1175" s="91"/>
      <c r="HB1175" s="91"/>
      <c r="HC1175" s="91"/>
      <c r="HD1175" s="91"/>
      <c r="HE1175" s="91"/>
      <c r="HF1175" s="91"/>
      <c r="HG1175" s="91"/>
      <c r="HH1175" s="91"/>
      <c r="HI1175" s="91"/>
      <c r="HJ1175" s="91"/>
      <c r="HK1175" s="91"/>
      <c r="HL1175" s="91"/>
      <c r="HM1175" s="91"/>
      <c r="HN1175" s="91"/>
      <c r="HO1175" s="91"/>
      <c r="HP1175" s="91"/>
      <c r="HQ1175" s="91"/>
      <c r="HR1175" s="91"/>
      <c r="HS1175" s="91"/>
      <c r="HT1175" s="91"/>
      <c r="HU1175" s="91"/>
      <c r="HV1175" s="91"/>
      <c r="HW1175" s="91"/>
      <c r="HX1175" s="91"/>
      <c r="HY1175" s="91"/>
      <c r="HZ1175" s="91"/>
      <c r="IA1175" s="91"/>
      <c r="IB1175" s="91"/>
      <c r="IC1175" s="91"/>
      <c r="ID1175" s="91"/>
      <c r="IE1175" s="91"/>
    </row>
    <row r="1176" spans="2:239" ht="15" x14ac:dyDescent="0.2">
      <c r="B1176" s="91"/>
      <c r="C1176" s="91"/>
      <c r="D1176" s="91"/>
      <c r="E1176" s="227"/>
      <c r="F1176" s="91"/>
      <c r="G1176" s="91"/>
      <c r="H1176" s="91"/>
      <c r="I1176" s="91"/>
      <c r="J1176" s="91"/>
      <c r="K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c r="FB1176" s="91"/>
      <c r="FC1176" s="91"/>
      <c r="FD1176" s="91"/>
      <c r="FE1176" s="91"/>
      <c r="FF1176" s="91"/>
      <c r="FG1176" s="91"/>
      <c r="FH1176" s="91"/>
      <c r="FI1176" s="91"/>
      <c r="FJ1176" s="91"/>
      <c r="FK1176" s="91"/>
      <c r="FL1176" s="91"/>
      <c r="FM1176" s="91"/>
      <c r="FN1176" s="91"/>
      <c r="FO1176" s="91"/>
      <c r="FP1176" s="91"/>
      <c r="FQ1176" s="91"/>
      <c r="FR1176" s="91"/>
      <c r="FS1176" s="91"/>
      <c r="FT1176" s="91"/>
      <c r="FU1176" s="91"/>
      <c r="FV1176" s="91"/>
      <c r="FW1176" s="91"/>
      <c r="FX1176" s="91"/>
      <c r="FY1176" s="91"/>
      <c r="FZ1176" s="91"/>
      <c r="GA1176" s="91"/>
      <c r="GB1176" s="91"/>
      <c r="GC1176" s="91"/>
      <c r="GD1176" s="91"/>
      <c r="GE1176" s="91"/>
      <c r="GF1176" s="91"/>
      <c r="GG1176" s="91"/>
      <c r="GH1176" s="91"/>
      <c r="GI1176" s="91"/>
      <c r="GJ1176" s="91"/>
      <c r="GK1176" s="91"/>
      <c r="GL1176" s="91"/>
      <c r="GM1176" s="91"/>
      <c r="GN1176" s="91"/>
      <c r="GO1176" s="91"/>
      <c r="GP1176" s="91"/>
      <c r="GQ1176" s="91"/>
      <c r="GR1176" s="91"/>
      <c r="GS1176" s="91"/>
      <c r="GT1176" s="91"/>
      <c r="GU1176" s="91"/>
      <c r="GV1176" s="91"/>
      <c r="GW1176" s="91"/>
      <c r="GX1176" s="91"/>
      <c r="GY1176" s="91"/>
      <c r="GZ1176" s="91"/>
      <c r="HA1176" s="91"/>
      <c r="HB1176" s="91"/>
      <c r="HC1176" s="91"/>
      <c r="HD1176" s="91"/>
      <c r="HE1176" s="91"/>
      <c r="HF1176" s="91"/>
      <c r="HG1176" s="91"/>
      <c r="HH1176" s="91"/>
      <c r="HI1176" s="91"/>
      <c r="HJ1176" s="91"/>
      <c r="HK1176" s="91"/>
      <c r="HL1176" s="91"/>
      <c r="HM1176" s="91"/>
      <c r="HN1176" s="91"/>
      <c r="HO1176" s="91"/>
      <c r="HP1176" s="91"/>
      <c r="HQ1176" s="91"/>
      <c r="HR1176" s="91"/>
      <c r="HS1176" s="91"/>
      <c r="HT1176" s="91"/>
      <c r="HU1176" s="91"/>
      <c r="HV1176" s="91"/>
      <c r="HW1176" s="91"/>
      <c r="HX1176" s="91"/>
      <c r="HY1176" s="91"/>
      <c r="HZ1176" s="91"/>
      <c r="IA1176" s="91"/>
      <c r="IB1176" s="91"/>
      <c r="IC1176" s="91"/>
      <c r="ID1176" s="91"/>
      <c r="IE1176" s="91"/>
    </row>
    <row r="1177" spans="2:239" ht="15" x14ac:dyDescent="0.2">
      <c r="B1177" s="91"/>
      <c r="C1177" s="91"/>
      <c r="D1177" s="91"/>
      <c r="E1177" s="227"/>
      <c r="F1177" s="91"/>
      <c r="G1177" s="91"/>
      <c r="H1177" s="91"/>
      <c r="I1177" s="91"/>
      <c r="J1177" s="91"/>
      <c r="K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c r="FB1177" s="91"/>
      <c r="FC1177" s="91"/>
      <c r="FD1177" s="91"/>
      <c r="FE1177" s="91"/>
      <c r="FF1177" s="91"/>
      <c r="FG1177" s="91"/>
      <c r="FH1177" s="91"/>
      <c r="FI1177" s="91"/>
      <c r="FJ1177" s="91"/>
      <c r="FK1177" s="91"/>
      <c r="FL1177" s="91"/>
      <c r="FM1177" s="91"/>
      <c r="FN1177" s="91"/>
      <c r="FO1177" s="91"/>
      <c r="FP1177" s="91"/>
      <c r="FQ1177" s="91"/>
      <c r="FR1177" s="91"/>
      <c r="FS1177" s="91"/>
      <c r="FT1177" s="91"/>
      <c r="FU1177" s="91"/>
      <c r="FV1177" s="91"/>
      <c r="FW1177" s="91"/>
      <c r="FX1177" s="91"/>
      <c r="FY1177" s="91"/>
      <c r="FZ1177" s="91"/>
      <c r="GA1177" s="91"/>
      <c r="GB1177" s="91"/>
      <c r="GC1177" s="91"/>
      <c r="GD1177" s="91"/>
      <c r="GE1177" s="91"/>
      <c r="GF1177" s="91"/>
      <c r="GG1177" s="91"/>
      <c r="GH1177" s="91"/>
      <c r="GI1177" s="91"/>
      <c r="GJ1177" s="91"/>
      <c r="GK1177" s="91"/>
      <c r="GL1177" s="91"/>
      <c r="GM1177" s="91"/>
      <c r="GN1177" s="91"/>
      <c r="GO1177" s="91"/>
      <c r="GP1177" s="91"/>
      <c r="GQ1177" s="91"/>
      <c r="GR1177" s="91"/>
      <c r="GS1177" s="91"/>
      <c r="GT1177" s="91"/>
      <c r="GU1177" s="91"/>
      <c r="GV1177" s="91"/>
      <c r="GW1177" s="91"/>
      <c r="GX1177" s="91"/>
      <c r="GY1177" s="91"/>
      <c r="GZ1177" s="91"/>
      <c r="HA1177" s="91"/>
      <c r="HB1177" s="91"/>
      <c r="HC1177" s="91"/>
      <c r="HD1177" s="91"/>
      <c r="HE1177" s="91"/>
      <c r="HF1177" s="91"/>
      <c r="HG1177" s="91"/>
      <c r="HH1177" s="91"/>
      <c r="HI1177" s="91"/>
      <c r="HJ1177" s="91"/>
      <c r="HK1177" s="91"/>
      <c r="HL1177" s="91"/>
      <c r="HM1177" s="91"/>
      <c r="HN1177" s="91"/>
      <c r="HO1177" s="91"/>
      <c r="HP1177" s="91"/>
      <c r="HQ1177" s="91"/>
      <c r="HR1177" s="91"/>
      <c r="HS1177" s="91"/>
      <c r="HT1177" s="91"/>
      <c r="HU1177" s="91"/>
      <c r="HV1177" s="91"/>
      <c r="HW1177" s="91"/>
      <c r="HX1177" s="91"/>
      <c r="HY1177" s="91"/>
      <c r="HZ1177" s="91"/>
      <c r="IA1177" s="91"/>
      <c r="IB1177" s="91"/>
      <c r="IC1177" s="91"/>
      <c r="ID1177" s="91"/>
      <c r="IE1177" s="91"/>
    </row>
    <row r="1178" spans="2:239" ht="15" x14ac:dyDescent="0.2">
      <c r="B1178" s="91"/>
      <c r="C1178" s="91"/>
      <c r="D1178" s="91"/>
      <c r="E1178" s="227"/>
      <c r="F1178" s="91"/>
      <c r="G1178" s="91"/>
      <c r="H1178" s="91"/>
      <c r="I1178" s="91"/>
      <c r="J1178" s="91"/>
      <c r="K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c r="FB1178" s="91"/>
      <c r="FC1178" s="91"/>
      <c r="FD1178" s="91"/>
      <c r="FE1178" s="91"/>
      <c r="FF1178" s="91"/>
      <c r="FG1178" s="91"/>
      <c r="FH1178" s="91"/>
      <c r="FI1178" s="91"/>
      <c r="FJ1178" s="91"/>
      <c r="FK1178" s="91"/>
      <c r="FL1178" s="91"/>
      <c r="FM1178" s="91"/>
      <c r="FN1178" s="91"/>
      <c r="FO1178" s="91"/>
      <c r="FP1178" s="91"/>
      <c r="FQ1178" s="91"/>
      <c r="FR1178" s="91"/>
      <c r="FS1178" s="91"/>
      <c r="FT1178" s="91"/>
      <c r="FU1178" s="91"/>
      <c r="FV1178" s="91"/>
      <c r="FW1178" s="91"/>
      <c r="FX1178" s="91"/>
      <c r="FY1178" s="91"/>
      <c r="FZ1178" s="91"/>
      <c r="GA1178" s="91"/>
      <c r="GB1178" s="91"/>
      <c r="GC1178" s="91"/>
      <c r="GD1178" s="91"/>
      <c r="GE1178" s="91"/>
      <c r="GF1178" s="91"/>
      <c r="GG1178" s="91"/>
      <c r="GH1178" s="91"/>
      <c r="GI1178" s="91"/>
      <c r="GJ1178" s="91"/>
      <c r="GK1178" s="91"/>
      <c r="GL1178" s="91"/>
      <c r="GM1178" s="91"/>
      <c r="GN1178" s="91"/>
      <c r="GO1178" s="91"/>
      <c r="GP1178" s="91"/>
      <c r="GQ1178" s="91"/>
      <c r="GR1178" s="91"/>
      <c r="GS1178" s="91"/>
      <c r="GT1178" s="91"/>
      <c r="GU1178" s="91"/>
      <c r="GV1178" s="91"/>
      <c r="GW1178" s="91"/>
      <c r="GX1178" s="91"/>
      <c r="GY1178" s="91"/>
      <c r="GZ1178" s="91"/>
      <c r="HA1178" s="91"/>
      <c r="HB1178" s="91"/>
      <c r="HC1178" s="91"/>
      <c r="HD1178" s="91"/>
      <c r="HE1178" s="91"/>
      <c r="HF1178" s="91"/>
      <c r="HG1178" s="91"/>
      <c r="HH1178" s="91"/>
      <c r="HI1178" s="91"/>
      <c r="HJ1178" s="91"/>
      <c r="HK1178" s="91"/>
      <c r="HL1178" s="91"/>
      <c r="HM1178" s="91"/>
      <c r="HN1178" s="91"/>
      <c r="HO1178" s="91"/>
      <c r="HP1178" s="91"/>
      <c r="HQ1178" s="91"/>
      <c r="HR1178" s="91"/>
      <c r="HS1178" s="91"/>
      <c r="HT1178" s="91"/>
      <c r="HU1178" s="91"/>
      <c r="HV1178" s="91"/>
      <c r="HW1178" s="91"/>
      <c r="HX1178" s="91"/>
      <c r="HY1178" s="91"/>
      <c r="HZ1178" s="91"/>
      <c r="IA1178" s="91"/>
      <c r="IB1178" s="91"/>
      <c r="IC1178" s="91"/>
      <c r="ID1178" s="91"/>
      <c r="IE1178" s="91"/>
    </row>
    <row r="1179" spans="2:239" ht="15" x14ac:dyDescent="0.2">
      <c r="B1179" s="91"/>
      <c r="C1179" s="91"/>
      <c r="D1179" s="91"/>
      <c r="E1179" s="227"/>
      <c r="F1179" s="91"/>
      <c r="G1179" s="91"/>
      <c r="H1179" s="91"/>
      <c r="I1179" s="91"/>
      <c r="J1179" s="91"/>
      <c r="K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c r="FB1179" s="91"/>
      <c r="FC1179" s="91"/>
      <c r="FD1179" s="91"/>
      <c r="FE1179" s="91"/>
      <c r="FF1179" s="91"/>
      <c r="FG1179" s="91"/>
      <c r="FH1179" s="91"/>
      <c r="FI1179" s="91"/>
      <c r="FJ1179" s="91"/>
      <c r="FK1179" s="91"/>
      <c r="FL1179" s="91"/>
      <c r="FM1179" s="91"/>
      <c r="FN1179" s="91"/>
      <c r="FO1179" s="91"/>
      <c r="FP1179" s="91"/>
      <c r="FQ1179" s="91"/>
      <c r="FR1179" s="91"/>
      <c r="FS1179" s="91"/>
      <c r="FT1179" s="91"/>
      <c r="FU1179" s="91"/>
      <c r="FV1179" s="91"/>
      <c r="FW1179" s="91"/>
      <c r="FX1179" s="91"/>
      <c r="FY1179" s="91"/>
      <c r="FZ1179" s="91"/>
      <c r="GA1179" s="91"/>
      <c r="GB1179" s="91"/>
      <c r="GC1179" s="91"/>
      <c r="GD1179" s="91"/>
      <c r="GE1179" s="91"/>
      <c r="GF1179" s="91"/>
      <c r="GG1179" s="91"/>
      <c r="GH1179" s="91"/>
      <c r="GI1179" s="91"/>
      <c r="GJ1179" s="91"/>
      <c r="GK1179" s="91"/>
      <c r="GL1179" s="91"/>
      <c r="GM1179" s="91"/>
      <c r="GN1179" s="91"/>
      <c r="GO1179" s="91"/>
      <c r="GP1179" s="91"/>
      <c r="GQ1179" s="91"/>
      <c r="GR1179" s="91"/>
      <c r="GS1179" s="91"/>
      <c r="GT1179" s="91"/>
      <c r="GU1179" s="91"/>
      <c r="GV1179" s="91"/>
      <c r="GW1179" s="91"/>
      <c r="GX1179" s="91"/>
      <c r="GY1179" s="91"/>
      <c r="GZ1179" s="91"/>
      <c r="HA1179" s="91"/>
      <c r="HB1179" s="91"/>
      <c r="HC1179" s="91"/>
      <c r="HD1179" s="91"/>
      <c r="HE1179" s="91"/>
      <c r="HF1179" s="91"/>
      <c r="HG1179" s="91"/>
      <c r="HH1179" s="91"/>
      <c r="HI1179" s="91"/>
      <c r="HJ1179" s="91"/>
      <c r="HK1179" s="91"/>
      <c r="HL1179" s="91"/>
      <c r="HM1179" s="91"/>
      <c r="HN1179" s="91"/>
      <c r="HO1179" s="91"/>
      <c r="HP1179" s="91"/>
      <c r="HQ1179" s="91"/>
      <c r="HR1179" s="91"/>
      <c r="HS1179" s="91"/>
      <c r="HT1179" s="91"/>
      <c r="HU1179" s="91"/>
      <c r="HV1179" s="91"/>
      <c r="HW1179" s="91"/>
      <c r="HX1179" s="91"/>
      <c r="HY1179" s="91"/>
      <c r="HZ1179" s="91"/>
      <c r="IA1179" s="91"/>
      <c r="IB1179" s="91"/>
      <c r="IC1179" s="91"/>
      <c r="ID1179" s="91"/>
      <c r="IE1179" s="91"/>
    </row>
    <row r="1180" spans="2:239" ht="15" x14ac:dyDescent="0.2">
      <c r="B1180" s="91"/>
      <c r="C1180" s="91"/>
      <c r="D1180" s="91"/>
      <c r="E1180" s="227"/>
      <c r="F1180" s="91"/>
      <c r="G1180" s="91"/>
      <c r="H1180" s="91"/>
      <c r="I1180" s="91"/>
      <c r="J1180" s="91"/>
      <c r="K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c r="FB1180" s="91"/>
      <c r="FC1180" s="91"/>
      <c r="FD1180" s="91"/>
      <c r="FE1180" s="91"/>
      <c r="FF1180" s="91"/>
      <c r="FG1180" s="91"/>
      <c r="FH1180" s="91"/>
      <c r="FI1180" s="91"/>
      <c r="FJ1180" s="91"/>
      <c r="FK1180" s="91"/>
      <c r="FL1180" s="91"/>
      <c r="FM1180" s="91"/>
      <c r="FN1180" s="91"/>
      <c r="FO1180" s="91"/>
      <c r="FP1180" s="91"/>
      <c r="FQ1180" s="91"/>
      <c r="FR1180" s="91"/>
      <c r="FS1180" s="91"/>
      <c r="FT1180" s="91"/>
      <c r="FU1180" s="91"/>
      <c r="FV1180" s="91"/>
      <c r="FW1180" s="91"/>
      <c r="FX1180" s="91"/>
      <c r="FY1180" s="91"/>
      <c r="FZ1180" s="91"/>
      <c r="GA1180" s="91"/>
      <c r="GB1180" s="91"/>
      <c r="GC1180" s="91"/>
      <c r="GD1180" s="91"/>
      <c r="GE1180" s="91"/>
      <c r="GF1180" s="91"/>
      <c r="GG1180" s="91"/>
      <c r="GH1180" s="91"/>
      <c r="GI1180" s="91"/>
      <c r="GJ1180" s="91"/>
      <c r="GK1180" s="91"/>
      <c r="GL1180" s="91"/>
      <c r="GM1180" s="91"/>
      <c r="GN1180" s="91"/>
      <c r="GO1180" s="91"/>
      <c r="GP1180" s="91"/>
      <c r="GQ1180" s="91"/>
      <c r="GR1180" s="91"/>
      <c r="GS1180" s="91"/>
      <c r="GT1180" s="91"/>
      <c r="GU1180" s="91"/>
      <c r="GV1180" s="91"/>
      <c r="GW1180" s="91"/>
      <c r="GX1180" s="91"/>
      <c r="GY1180" s="91"/>
      <c r="GZ1180" s="91"/>
      <c r="HA1180" s="91"/>
      <c r="HB1180" s="91"/>
      <c r="HC1180" s="91"/>
      <c r="HD1180" s="91"/>
      <c r="HE1180" s="91"/>
      <c r="HF1180" s="91"/>
      <c r="HG1180" s="91"/>
      <c r="HH1180" s="91"/>
      <c r="HI1180" s="91"/>
      <c r="HJ1180" s="91"/>
      <c r="HK1180" s="91"/>
      <c r="HL1180" s="91"/>
      <c r="HM1180" s="91"/>
      <c r="HN1180" s="91"/>
      <c r="HO1180" s="91"/>
      <c r="HP1180" s="91"/>
      <c r="HQ1180" s="91"/>
      <c r="HR1180" s="91"/>
      <c r="HS1180" s="91"/>
      <c r="HT1180" s="91"/>
      <c r="HU1180" s="91"/>
      <c r="HV1180" s="91"/>
      <c r="HW1180" s="91"/>
      <c r="HX1180" s="91"/>
      <c r="HY1180" s="91"/>
      <c r="HZ1180" s="91"/>
      <c r="IA1180" s="91"/>
      <c r="IB1180" s="91"/>
      <c r="IC1180" s="91"/>
      <c r="ID1180" s="91"/>
      <c r="IE1180" s="91"/>
    </row>
    <row r="1181" spans="2:239" ht="15" x14ac:dyDescent="0.2">
      <c r="B1181" s="91"/>
      <c r="C1181" s="91"/>
      <c r="D1181" s="91"/>
      <c r="E1181" s="227"/>
      <c r="F1181" s="91"/>
      <c r="G1181" s="91"/>
      <c r="H1181" s="91"/>
      <c r="I1181" s="91"/>
      <c r="J1181" s="91"/>
      <c r="K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c r="FB1181" s="91"/>
      <c r="FC1181" s="91"/>
      <c r="FD1181" s="91"/>
      <c r="FE1181" s="91"/>
      <c r="FF1181" s="91"/>
      <c r="FG1181" s="91"/>
      <c r="FH1181" s="91"/>
      <c r="FI1181" s="91"/>
      <c r="FJ1181" s="91"/>
      <c r="FK1181" s="91"/>
      <c r="FL1181" s="91"/>
      <c r="FM1181" s="91"/>
      <c r="FN1181" s="91"/>
      <c r="FO1181" s="91"/>
      <c r="FP1181" s="91"/>
      <c r="FQ1181" s="91"/>
      <c r="FR1181" s="91"/>
      <c r="FS1181" s="91"/>
      <c r="FT1181" s="91"/>
      <c r="FU1181" s="91"/>
      <c r="FV1181" s="91"/>
      <c r="FW1181" s="91"/>
      <c r="FX1181" s="91"/>
      <c r="FY1181" s="91"/>
      <c r="FZ1181" s="91"/>
      <c r="GA1181" s="91"/>
      <c r="GB1181" s="91"/>
      <c r="GC1181" s="91"/>
      <c r="GD1181" s="91"/>
      <c r="GE1181" s="91"/>
      <c r="GF1181" s="91"/>
      <c r="GG1181" s="91"/>
      <c r="GH1181" s="91"/>
      <c r="GI1181" s="91"/>
      <c r="GJ1181" s="91"/>
      <c r="GK1181" s="91"/>
      <c r="GL1181" s="91"/>
      <c r="GM1181" s="91"/>
      <c r="GN1181" s="91"/>
      <c r="GO1181" s="91"/>
      <c r="GP1181" s="91"/>
      <c r="GQ1181" s="91"/>
      <c r="GR1181" s="91"/>
      <c r="GS1181" s="91"/>
      <c r="GT1181" s="91"/>
      <c r="GU1181" s="91"/>
      <c r="GV1181" s="91"/>
      <c r="GW1181" s="91"/>
      <c r="GX1181" s="91"/>
      <c r="GY1181" s="91"/>
      <c r="GZ1181" s="91"/>
      <c r="HA1181" s="91"/>
      <c r="HB1181" s="91"/>
      <c r="HC1181" s="91"/>
      <c r="HD1181" s="91"/>
      <c r="HE1181" s="91"/>
      <c r="HF1181" s="91"/>
      <c r="HG1181" s="91"/>
      <c r="HH1181" s="91"/>
      <c r="HI1181" s="91"/>
      <c r="HJ1181" s="91"/>
      <c r="HK1181" s="91"/>
      <c r="HL1181" s="91"/>
      <c r="HM1181" s="91"/>
      <c r="HN1181" s="91"/>
      <c r="HO1181" s="91"/>
      <c r="HP1181" s="91"/>
      <c r="HQ1181" s="91"/>
      <c r="HR1181" s="91"/>
      <c r="HS1181" s="91"/>
      <c r="HT1181" s="91"/>
      <c r="HU1181" s="91"/>
      <c r="HV1181" s="91"/>
      <c r="HW1181" s="91"/>
      <c r="HX1181" s="91"/>
      <c r="HY1181" s="91"/>
      <c r="HZ1181" s="91"/>
      <c r="IA1181" s="91"/>
      <c r="IB1181" s="91"/>
      <c r="IC1181" s="91"/>
      <c r="ID1181" s="91"/>
      <c r="IE1181" s="91"/>
    </row>
    <row r="1182" spans="2:239" ht="15" x14ac:dyDescent="0.2">
      <c r="B1182" s="91"/>
      <c r="C1182" s="91"/>
      <c r="D1182" s="91"/>
      <c r="E1182" s="227"/>
      <c r="F1182" s="91"/>
      <c r="G1182" s="91"/>
      <c r="H1182" s="91"/>
      <c r="I1182" s="91"/>
      <c r="J1182" s="91"/>
      <c r="K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row>
    <row r="1183" spans="2:239" ht="15" x14ac:dyDescent="0.2">
      <c r="B1183" s="91"/>
      <c r="C1183" s="91"/>
      <c r="D1183" s="91"/>
      <c r="E1183" s="227"/>
      <c r="F1183" s="91"/>
      <c r="G1183" s="91"/>
      <c r="H1183" s="91"/>
      <c r="I1183" s="91"/>
      <c r="J1183" s="91"/>
      <c r="K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c r="FB1183" s="91"/>
      <c r="FC1183" s="91"/>
      <c r="FD1183" s="91"/>
      <c r="FE1183" s="91"/>
      <c r="FF1183" s="91"/>
      <c r="FG1183" s="91"/>
      <c r="FH1183" s="91"/>
      <c r="FI1183" s="91"/>
      <c r="FJ1183" s="91"/>
      <c r="FK1183" s="91"/>
      <c r="FL1183" s="91"/>
      <c r="FM1183" s="91"/>
      <c r="FN1183" s="91"/>
      <c r="FO1183" s="91"/>
      <c r="FP1183" s="91"/>
      <c r="FQ1183" s="91"/>
      <c r="FR1183" s="91"/>
      <c r="FS1183" s="91"/>
      <c r="FT1183" s="91"/>
      <c r="FU1183" s="91"/>
      <c r="FV1183" s="91"/>
      <c r="FW1183" s="91"/>
      <c r="FX1183" s="91"/>
      <c r="FY1183" s="91"/>
      <c r="FZ1183" s="91"/>
      <c r="GA1183" s="91"/>
      <c r="GB1183" s="91"/>
      <c r="GC1183" s="91"/>
      <c r="GD1183" s="91"/>
      <c r="GE1183" s="91"/>
      <c r="GF1183" s="91"/>
      <c r="GG1183" s="91"/>
      <c r="GH1183" s="91"/>
      <c r="GI1183" s="91"/>
      <c r="GJ1183" s="91"/>
      <c r="GK1183" s="91"/>
      <c r="GL1183" s="91"/>
      <c r="GM1183" s="91"/>
      <c r="GN1183" s="91"/>
      <c r="GO1183" s="91"/>
      <c r="GP1183" s="91"/>
      <c r="GQ1183" s="91"/>
      <c r="GR1183" s="91"/>
      <c r="GS1183" s="91"/>
      <c r="GT1183" s="91"/>
      <c r="GU1183" s="91"/>
      <c r="GV1183" s="91"/>
      <c r="GW1183" s="91"/>
      <c r="GX1183" s="91"/>
      <c r="GY1183" s="91"/>
      <c r="GZ1183" s="91"/>
      <c r="HA1183" s="91"/>
      <c r="HB1183" s="91"/>
      <c r="HC1183" s="91"/>
      <c r="HD1183" s="91"/>
      <c r="HE1183" s="91"/>
      <c r="HF1183" s="91"/>
      <c r="HG1183" s="91"/>
      <c r="HH1183" s="91"/>
      <c r="HI1183" s="91"/>
      <c r="HJ1183" s="91"/>
      <c r="HK1183" s="91"/>
      <c r="HL1183" s="91"/>
      <c r="HM1183" s="91"/>
      <c r="HN1183" s="91"/>
      <c r="HO1183" s="91"/>
      <c r="HP1183" s="91"/>
      <c r="HQ1183" s="91"/>
      <c r="HR1183" s="91"/>
      <c r="HS1183" s="91"/>
      <c r="HT1183" s="91"/>
      <c r="HU1183" s="91"/>
      <c r="HV1183" s="91"/>
      <c r="HW1183" s="91"/>
      <c r="HX1183" s="91"/>
      <c r="HY1183" s="91"/>
      <c r="HZ1183" s="91"/>
      <c r="IA1183" s="91"/>
      <c r="IB1183" s="91"/>
      <c r="IC1183" s="91"/>
      <c r="ID1183" s="91"/>
      <c r="IE1183" s="91"/>
    </row>
    <row r="1184" spans="2:239" ht="15" x14ac:dyDescent="0.2">
      <c r="B1184" s="91"/>
      <c r="C1184" s="91"/>
      <c r="D1184" s="91"/>
      <c r="E1184" s="227"/>
      <c r="F1184" s="91"/>
      <c r="G1184" s="91"/>
      <c r="H1184" s="91"/>
      <c r="I1184" s="91"/>
      <c r="J1184" s="91"/>
      <c r="K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row>
    <row r="1185" spans="2:239" ht="15" x14ac:dyDescent="0.2">
      <c r="B1185" s="91"/>
      <c r="C1185" s="91"/>
      <c r="D1185" s="91"/>
      <c r="E1185" s="227"/>
      <c r="F1185" s="91"/>
      <c r="G1185" s="91"/>
      <c r="H1185" s="91"/>
      <c r="I1185" s="91"/>
      <c r="J1185" s="91"/>
      <c r="K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c r="FB1185" s="91"/>
      <c r="FC1185" s="91"/>
      <c r="FD1185" s="91"/>
      <c r="FE1185" s="91"/>
      <c r="FF1185" s="91"/>
      <c r="FG1185" s="91"/>
      <c r="FH1185" s="91"/>
      <c r="FI1185" s="91"/>
      <c r="FJ1185" s="91"/>
      <c r="FK1185" s="91"/>
      <c r="FL1185" s="91"/>
      <c r="FM1185" s="91"/>
      <c r="FN1185" s="91"/>
      <c r="FO1185" s="91"/>
      <c r="FP1185" s="91"/>
      <c r="FQ1185" s="91"/>
      <c r="FR1185" s="91"/>
      <c r="FS1185" s="91"/>
      <c r="FT1185" s="91"/>
      <c r="FU1185" s="91"/>
      <c r="FV1185" s="91"/>
      <c r="FW1185" s="91"/>
      <c r="FX1185" s="91"/>
      <c r="FY1185" s="91"/>
      <c r="FZ1185" s="91"/>
      <c r="GA1185" s="91"/>
      <c r="GB1185" s="91"/>
      <c r="GC1185" s="91"/>
      <c r="GD1185" s="91"/>
      <c r="GE1185" s="91"/>
      <c r="GF1185" s="91"/>
      <c r="GG1185" s="91"/>
      <c r="GH1185" s="91"/>
      <c r="GI1185" s="91"/>
      <c r="GJ1185" s="91"/>
      <c r="GK1185" s="91"/>
      <c r="GL1185" s="91"/>
      <c r="GM1185" s="91"/>
      <c r="GN1185" s="91"/>
      <c r="GO1185" s="91"/>
      <c r="GP1185" s="91"/>
      <c r="GQ1185" s="91"/>
      <c r="GR1185" s="91"/>
      <c r="GS1185" s="91"/>
      <c r="GT1185" s="91"/>
      <c r="GU1185" s="91"/>
      <c r="GV1185" s="91"/>
      <c r="GW1185" s="91"/>
      <c r="GX1185" s="91"/>
      <c r="GY1185" s="91"/>
      <c r="GZ1185" s="91"/>
      <c r="HA1185" s="91"/>
      <c r="HB1185" s="91"/>
      <c r="HC1185" s="91"/>
      <c r="HD1185" s="91"/>
      <c r="HE1185" s="91"/>
      <c r="HF1185" s="91"/>
      <c r="HG1185" s="91"/>
      <c r="HH1185" s="91"/>
      <c r="HI1185" s="91"/>
      <c r="HJ1185" s="91"/>
      <c r="HK1185" s="91"/>
      <c r="HL1185" s="91"/>
      <c r="HM1185" s="91"/>
      <c r="HN1185" s="91"/>
      <c r="HO1185" s="91"/>
      <c r="HP1185" s="91"/>
      <c r="HQ1185" s="91"/>
      <c r="HR1185" s="91"/>
      <c r="HS1185" s="91"/>
      <c r="HT1185" s="91"/>
      <c r="HU1185" s="91"/>
      <c r="HV1185" s="91"/>
      <c r="HW1185" s="91"/>
      <c r="HX1185" s="91"/>
      <c r="HY1185" s="91"/>
      <c r="HZ1185" s="91"/>
      <c r="IA1185" s="91"/>
      <c r="IB1185" s="91"/>
      <c r="IC1185" s="91"/>
      <c r="ID1185" s="91"/>
      <c r="IE1185" s="91"/>
    </row>
    <row r="1186" spans="2:239" ht="15" x14ac:dyDescent="0.2">
      <c r="B1186" s="91"/>
      <c r="C1186" s="91"/>
      <c r="D1186" s="91"/>
      <c r="E1186" s="227"/>
      <c r="F1186" s="91"/>
      <c r="G1186" s="91"/>
      <c r="H1186" s="91"/>
      <c r="I1186" s="91"/>
      <c r="J1186" s="91"/>
      <c r="K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row>
    <row r="1187" spans="2:239" ht="15" x14ac:dyDescent="0.2">
      <c r="B1187" s="91"/>
      <c r="C1187" s="91"/>
      <c r="D1187" s="91"/>
      <c r="E1187" s="227"/>
      <c r="F1187" s="91"/>
      <c r="G1187" s="91"/>
      <c r="H1187" s="91"/>
      <c r="I1187" s="91"/>
      <c r="J1187" s="91"/>
      <c r="K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c r="FB1187" s="91"/>
      <c r="FC1187" s="91"/>
      <c r="FD1187" s="91"/>
      <c r="FE1187" s="91"/>
      <c r="FF1187" s="91"/>
      <c r="FG1187" s="91"/>
      <c r="FH1187" s="91"/>
      <c r="FI1187" s="91"/>
      <c r="FJ1187" s="91"/>
      <c r="FK1187" s="91"/>
      <c r="FL1187" s="91"/>
      <c r="FM1187" s="91"/>
      <c r="FN1187" s="91"/>
      <c r="FO1187" s="91"/>
      <c r="FP1187" s="91"/>
      <c r="FQ1187" s="91"/>
      <c r="FR1187" s="91"/>
      <c r="FS1187" s="91"/>
      <c r="FT1187" s="91"/>
      <c r="FU1187" s="91"/>
      <c r="FV1187" s="91"/>
      <c r="FW1187" s="91"/>
      <c r="FX1187" s="91"/>
      <c r="FY1187" s="91"/>
      <c r="FZ1187" s="91"/>
      <c r="GA1187" s="91"/>
      <c r="GB1187" s="91"/>
      <c r="GC1187" s="91"/>
      <c r="GD1187" s="91"/>
      <c r="GE1187" s="91"/>
      <c r="GF1187" s="91"/>
      <c r="GG1187" s="91"/>
      <c r="GH1187" s="91"/>
      <c r="GI1187" s="91"/>
      <c r="GJ1187" s="91"/>
      <c r="GK1187" s="91"/>
      <c r="GL1187" s="91"/>
      <c r="GM1187" s="91"/>
      <c r="GN1187" s="91"/>
      <c r="GO1187" s="91"/>
      <c r="GP1187" s="91"/>
      <c r="GQ1187" s="91"/>
      <c r="GR1187" s="91"/>
      <c r="GS1187" s="91"/>
      <c r="GT1187" s="91"/>
      <c r="GU1187" s="91"/>
      <c r="GV1187" s="91"/>
      <c r="GW1187" s="91"/>
      <c r="GX1187" s="91"/>
      <c r="GY1187" s="91"/>
      <c r="GZ1187" s="91"/>
      <c r="HA1187" s="91"/>
      <c r="HB1187" s="91"/>
      <c r="HC1187" s="91"/>
      <c r="HD1187" s="91"/>
      <c r="HE1187" s="91"/>
      <c r="HF1187" s="91"/>
      <c r="HG1187" s="91"/>
      <c r="HH1187" s="91"/>
      <c r="HI1187" s="91"/>
      <c r="HJ1187" s="91"/>
      <c r="HK1187" s="91"/>
      <c r="HL1187" s="91"/>
      <c r="HM1187" s="91"/>
      <c r="HN1187" s="91"/>
      <c r="HO1187" s="91"/>
      <c r="HP1187" s="91"/>
      <c r="HQ1187" s="91"/>
      <c r="HR1187" s="91"/>
      <c r="HS1187" s="91"/>
      <c r="HT1187" s="91"/>
      <c r="HU1187" s="91"/>
      <c r="HV1187" s="91"/>
      <c r="HW1187" s="91"/>
      <c r="HX1187" s="91"/>
      <c r="HY1187" s="91"/>
      <c r="HZ1187" s="91"/>
      <c r="IA1187" s="91"/>
      <c r="IB1187" s="91"/>
      <c r="IC1187" s="91"/>
      <c r="ID1187" s="91"/>
      <c r="IE1187" s="91"/>
    </row>
    <row r="1188" spans="2:239" ht="15" x14ac:dyDescent="0.2">
      <c r="B1188" s="91"/>
      <c r="C1188" s="91"/>
      <c r="D1188" s="91"/>
      <c r="E1188" s="227"/>
      <c r="F1188" s="91"/>
      <c r="G1188" s="91"/>
      <c r="H1188" s="91"/>
      <c r="I1188" s="91"/>
      <c r="J1188" s="91"/>
      <c r="K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row>
    <row r="1189" spans="2:239" ht="15" x14ac:dyDescent="0.2">
      <c r="B1189" s="91"/>
      <c r="C1189" s="91"/>
      <c r="D1189" s="91"/>
      <c r="E1189" s="227"/>
      <c r="F1189" s="91"/>
      <c r="G1189" s="91"/>
      <c r="H1189" s="91"/>
      <c r="I1189" s="91"/>
      <c r="J1189" s="91"/>
      <c r="K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c r="FB1189" s="91"/>
      <c r="FC1189" s="91"/>
      <c r="FD1189" s="91"/>
      <c r="FE1189" s="91"/>
      <c r="FF1189" s="91"/>
      <c r="FG1189" s="91"/>
      <c r="FH1189" s="91"/>
      <c r="FI1189" s="91"/>
      <c r="FJ1189" s="91"/>
      <c r="FK1189" s="91"/>
      <c r="FL1189" s="91"/>
      <c r="FM1189" s="91"/>
      <c r="FN1189" s="91"/>
      <c r="FO1189" s="91"/>
      <c r="FP1189" s="91"/>
      <c r="FQ1189" s="91"/>
      <c r="FR1189" s="91"/>
      <c r="FS1189" s="91"/>
      <c r="FT1189" s="91"/>
      <c r="FU1189" s="91"/>
      <c r="FV1189" s="91"/>
      <c r="FW1189" s="91"/>
      <c r="FX1189" s="91"/>
      <c r="FY1189" s="91"/>
      <c r="FZ1189" s="91"/>
      <c r="GA1189" s="91"/>
      <c r="GB1189" s="91"/>
      <c r="GC1189" s="91"/>
      <c r="GD1189" s="91"/>
      <c r="GE1189" s="91"/>
      <c r="GF1189" s="91"/>
      <c r="GG1189" s="91"/>
      <c r="GH1189" s="91"/>
      <c r="GI1189" s="91"/>
      <c r="GJ1189" s="91"/>
      <c r="GK1189" s="91"/>
      <c r="GL1189" s="91"/>
      <c r="GM1189" s="91"/>
      <c r="GN1189" s="91"/>
      <c r="GO1189" s="91"/>
      <c r="GP1189" s="91"/>
      <c r="GQ1189" s="91"/>
      <c r="GR1189" s="91"/>
      <c r="GS1189" s="91"/>
      <c r="GT1189" s="91"/>
      <c r="GU1189" s="91"/>
      <c r="GV1189" s="91"/>
      <c r="GW1189" s="91"/>
      <c r="GX1189" s="91"/>
      <c r="GY1189" s="91"/>
      <c r="GZ1189" s="91"/>
      <c r="HA1189" s="91"/>
      <c r="HB1189" s="91"/>
      <c r="HC1189" s="91"/>
      <c r="HD1189" s="91"/>
      <c r="HE1189" s="91"/>
      <c r="HF1189" s="91"/>
      <c r="HG1189" s="91"/>
      <c r="HH1189" s="91"/>
      <c r="HI1189" s="91"/>
      <c r="HJ1189" s="91"/>
      <c r="HK1189" s="91"/>
      <c r="HL1189" s="91"/>
      <c r="HM1189" s="91"/>
      <c r="HN1189" s="91"/>
      <c r="HO1189" s="91"/>
      <c r="HP1189" s="91"/>
      <c r="HQ1189" s="91"/>
      <c r="HR1189" s="91"/>
      <c r="HS1189" s="91"/>
      <c r="HT1189" s="91"/>
      <c r="HU1189" s="91"/>
      <c r="HV1189" s="91"/>
      <c r="HW1189" s="91"/>
      <c r="HX1189" s="91"/>
      <c r="HY1189" s="91"/>
      <c r="HZ1189" s="91"/>
      <c r="IA1189" s="91"/>
      <c r="IB1189" s="91"/>
      <c r="IC1189" s="91"/>
      <c r="ID1189" s="91"/>
      <c r="IE1189" s="91"/>
    </row>
    <row r="1190" spans="2:239" ht="15" x14ac:dyDescent="0.2">
      <c r="B1190" s="91"/>
      <c r="C1190" s="91"/>
      <c r="D1190" s="91"/>
      <c r="E1190" s="227"/>
      <c r="F1190" s="91"/>
      <c r="G1190" s="91"/>
      <c r="H1190" s="91"/>
      <c r="I1190" s="91"/>
      <c r="J1190" s="91"/>
      <c r="K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row>
    <row r="1191" spans="2:239" ht="15" x14ac:dyDescent="0.2">
      <c r="B1191" s="91"/>
      <c r="C1191" s="91"/>
      <c r="D1191" s="91"/>
      <c r="E1191" s="227"/>
      <c r="F1191" s="91"/>
      <c r="G1191" s="91"/>
      <c r="H1191" s="91"/>
      <c r="I1191" s="91"/>
      <c r="J1191" s="91"/>
      <c r="K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c r="FB1191" s="91"/>
      <c r="FC1191" s="91"/>
      <c r="FD1191" s="91"/>
      <c r="FE1191" s="91"/>
      <c r="FF1191" s="91"/>
      <c r="FG1191" s="91"/>
      <c r="FH1191" s="91"/>
      <c r="FI1191" s="91"/>
      <c r="FJ1191" s="91"/>
      <c r="FK1191" s="91"/>
      <c r="FL1191" s="91"/>
      <c r="FM1191" s="91"/>
      <c r="FN1191" s="91"/>
      <c r="FO1191" s="91"/>
      <c r="FP1191" s="91"/>
      <c r="FQ1191" s="91"/>
      <c r="FR1191" s="91"/>
      <c r="FS1191" s="91"/>
      <c r="FT1191" s="91"/>
      <c r="FU1191" s="91"/>
      <c r="FV1191" s="91"/>
      <c r="FW1191" s="91"/>
      <c r="FX1191" s="91"/>
      <c r="FY1191" s="91"/>
      <c r="FZ1191" s="91"/>
      <c r="GA1191" s="91"/>
      <c r="GB1191" s="91"/>
      <c r="GC1191" s="91"/>
      <c r="GD1191" s="91"/>
      <c r="GE1191" s="91"/>
      <c r="GF1191" s="91"/>
      <c r="GG1191" s="91"/>
      <c r="GH1191" s="91"/>
      <c r="GI1191" s="91"/>
      <c r="GJ1191" s="91"/>
      <c r="GK1191" s="91"/>
      <c r="GL1191" s="91"/>
      <c r="GM1191" s="91"/>
      <c r="GN1191" s="91"/>
      <c r="GO1191" s="91"/>
      <c r="GP1191" s="91"/>
      <c r="GQ1191" s="91"/>
      <c r="GR1191" s="91"/>
      <c r="GS1191" s="91"/>
      <c r="GT1191" s="91"/>
      <c r="GU1191" s="91"/>
      <c r="GV1191" s="91"/>
      <c r="GW1191" s="91"/>
      <c r="GX1191" s="91"/>
      <c r="GY1191" s="91"/>
      <c r="GZ1191" s="91"/>
      <c r="HA1191" s="91"/>
      <c r="HB1191" s="91"/>
      <c r="HC1191" s="91"/>
      <c r="HD1191" s="91"/>
      <c r="HE1191" s="91"/>
      <c r="HF1191" s="91"/>
      <c r="HG1191" s="91"/>
      <c r="HH1191" s="91"/>
      <c r="HI1191" s="91"/>
      <c r="HJ1191" s="91"/>
      <c r="HK1191" s="91"/>
      <c r="HL1191" s="91"/>
      <c r="HM1191" s="91"/>
      <c r="HN1191" s="91"/>
      <c r="HO1191" s="91"/>
      <c r="HP1191" s="91"/>
      <c r="HQ1191" s="91"/>
      <c r="HR1191" s="91"/>
      <c r="HS1191" s="91"/>
      <c r="HT1191" s="91"/>
      <c r="HU1191" s="91"/>
      <c r="HV1191" s="91"/>
      <c r="HW1191" s="91"/>
      <c r="HX1191" s="91"/>
      <c r="HY1191" s="91"/>
      <c r="HZ1191" s="91"/>
      <c r="IA1191" s="91"/>
      <c r="IB1191" s="91"/>
      <c r="IC1191" s="91"/>
      <c r="ID1191" s="91"/>
      <c r="IE1191" s="91"/>
    </row>
    <row r="1192" spans="2:239" ht="15" x14ac:dyDescent="0.2">
      <c r="B1192" s="91"/>
      <c r="C1192" s="91"/>
      <c r="D1192" s="91"/>
      <c r="E1192" s="227"/>
      <c r="F1192" s="91"/>
      <c r="G1192" s="91"/>
      <c r="H1192" s="91"/>
      <c r="I1192" s="91"/>
      <c r="J1192" s="91"/>
      <c r="K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row>
    <row r="1193" spans="2:239" ht="15" x14ac:dyDescent="0.2">
      <c r="B1193" s="91"/>
      <c r="C1193" s="91"/>
      <c r="D1193" s="91"/>
      <c r="E1193" s="227"/>
      <c r="F1193" s="91"/>
      <c r="G1193" s="91"/>
      <c r="H1193" s="91"/>
      <c r="I1193" s="91"/>
      <c r="J1193" s="91"/>
      <c r="K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c r="FB1193" s="91"/>
      <c r="FC1193" s="91"/>
      <c r="FD1193" s="91"/>
      <c r="FE1193" s="91"/>
      <c r="FF1193" s="91"/>
      <c r="FG1193" s="91"/>
      <c r="FH1193" s="91"/>
      <c r="FI1193" s="91"/>
      <c r="FJ1193" s="91"/>
      <c r="FK1193" s="91"/>
      <c r="FL1193" s="91"/>
      <c r="FM1193" s="91"/>
      <c r="FN1193" s="91"/>
      <c r="FO1193" s="91"/>
      <c r="FP1193" s="91"/>
      <c r="FQ1193" s="91"/>
      <c r="FR1193" s="91"/>
      <c r="FS1193" s="91"/>
      <c r="FT1193" s="91"/>
      <c r="FU1193" s="91"/>
      <c r="FV1193" s="91"/>
      <c r="FW1193" s="91"/>
      <c r="FX1193" s="91"/>
      <c r="FY1193" s="91"/>
      <c r="FZ1193" s="91"/>
      <c r="GA1193" s="91"/>
      <c r="GB1193" s="91"/>
      <c r="GC1193" s="91"/>
      <c r="GD1193" s="91"/>
      <c r="GE1193" s="91"/>
      <c r="GF1193" s="91"/>
      <c r="GG1193" s="91"/>
      <c r="GH1193" s="91"/>
      <c r="GI1193" s="91"/>
      <c r="GJ1193" s="91"/>
      <c r="GK1193" s="91"/>
      <c r="GL1193" s="91"/>
      <c r="GM1193" s="91"/>
      <c r="GN1193" s="91"/>
      <c r="GO1193" s="91"/>
      <c r="GP1193" s="91"/>
      <c r="GQ1193" s="91"/>
      <c r="GR1193" s="91"/>
      <c r="GS1193" s="91"/>
      <c r="GT1193" s="91"/>
      <c r="GU1193" s="91"/>
      <c r="GV1193" s="91"/>
      <c r="GW1193" s="91"/>
      <c r="GX1193" s="91"/>
      <c r="GY1193" s="91"/>
      <c r="GZ1193" s="91"/>
      <c r="HA1193" s="91"/>
      <c r="HB1193" s="91"/>
      <c r="HC1193" s="91"/>
      <c r="HD1193" s="91"/>
      <c r="HE1193" s="91"/>
      <c r="HF1193" s="91"/>
      <c r="HG1193" s="91"/>
      <c r="HH1193" s="91"/>
      <c r="HI1193" s="91"/>
      <c r="HJ1193" s="91"/>
      <c r="HK1193" s="91"/>
      <c r="HL1193" s="91"/>
      <c r="HM1193" s="91"/>
      <c r="HN1193" s="91"/>
      <c r="HO1193" s="91"/>
      <c r="HP1193" s="91"/>
      <c r="HQ1193" s="91"/>
      <c r="HR1193" s="91"/>
      <c r="HS1193" s="91"/>
      <c r="HT1193" s="91"/>
      <c r="HU1193" s="91"/>
      <c r="HV1193" s="91"/>
      <c r="HW1193" s="91"/>
      <c r="HX1193" s="91"/>
      <c r="HY1193" s="91"/>
      <c r="HZ1193" s="91"/>
      <c r="IA1193" s="91"/>
      <c r="IB1193" s="91"/>
      <c r="IC1193" s="91"/>
      <c r="ID1193" s="91"/>
      <c r="IE1193" s="91"/>
    </row>
    <row r="1194" spans="2:239" ht="15" x14ac:dyDescent="0.2">
      <c r="B1194" s="91"/>
      <c r="C1194" s="91"/>
      <c r="D1194" s="91"/>
      <c r="E1194" s="227"/>
      <c r="F1194" s="91"/>
      <c r="G1194" s="91"/>
      <c r="H1194" s="91"/>
      <c r="I1194" s="91"/>
      <c r="J1194" s="91"/>
      <c r="K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c r="FB1194" s="91"/>
      <c r="FC1194" s="91"/>
      <c r="FD1194" s="91"/>
      <c r="FE1194" s="91"/>
      <c r="FF1194" s="91"/>
      <c r="FG1194" s="91"/>
      <c r="FH1194" s="91"/>
      <c r="FI1194" s="91"/>
      <c r="FJ1194" s="91"/>
      <c r="FK1194" s="91"/>
      <c r="FL1194" s="91"/>
      <c r="FM1194" s="91"/>
      <c r="FN1194" s="91"/>
      <c r="FO1194" s="91"/>
      <c r="FP1194" s="91"/>
      <c r="FQ1194" s="91"/>
      <c r="FR1194" s="91"/>
      <c r="FS1194" s="91"/>
      <c r="FT1194" s="91"/>
      <c r="FU1194" s="91"/>
      <c r="FV1194" s="91"/>
      <c r="FW1194" s="91"/>
      <c r="FX1194" s="91"/>
      <c r="FY1194" s="91"/>
      <c r="FZ1194" s="91"/>
      <c r="GA1194" s="91"/>
      <c r="GB1194" s="91"/>
      <c r="GC1194" s="91"/>
      <c r="GD1194" s="91"/>
      <c r="GE1194" s="91"/>
      <c r="GF1194" s="91"/>
      <c r="GG1194" s="91"/>
      <c r="GH1194" s="91"/>
      <c r="GI1194" s="91"/>
      <c r="GJ1194" s="91"/>
      <c r="GK1194" s="91"/>
      <c r="GL1194" s="91"/>
      <c r="GM1194" s="91"/>
      <c r="GN1194" s="91"/>
      <c r="GO1194" s="91"/>
      <c r="GP1194" s="91"/>
      <c r="GQ1194" s="91"/>
      <c r="GR1194" s="91"/>
      <c r="GS1194" s="91"/>
      <c r="GT1194" s="91"/>
      <c r="GU1194" s="91"/>
      <c r="GV1194" s="91"/>
      <c r="GW1194" s="91"/>
      <c r="GX1194" s="91"/>
      <c r="GY1194" s="91"/>
      <c r="GZ1194" s="91"/>
      <c r="HA1194" s="91"/>
      <c r="HB1194" s="91"/>
      <c r="HC1194" s="91"/>
      <c r="HD1194" s="91"/>
      <c r="HE1194" s="91"/>
      <c r="HF1194" s="91"/>
      <c r="HG1194" s="91"/>
      <c r="HH1194" s="91"/>
      <c r="HI1194" s="91"/>
      <c r="HJ1194" s="91"/>
      <c r="HK1194" s="91"/>
      <c r="HL1194" s="91"/>
      <c r="HM1194" s="91"/>
      <c r="HN1194" s="91"/>
      <c r="HO1194" s="91"/>
      <c r="HP1194" s="91"/>
      <c r="HQ1194" s="91"/>
      <c r="HR1194" s="91"/>
      <c r="HS1194" s="91"/>
      <c r="HT1194" s="91"/>
      <c r="HU1194" s="91"/>
      <c r="HV1194" s="91"/>
      <c r="HW1194" s="91"/>
      <c r="HX1194" s="91"/>
      <c r="HY1194" s="91"/>
      <c r="HZ1194" s="91"/>
      <c r="IA1194" s="91"/>
      <c r="IB1194" s="91"/>
      <c r="IC1194" s="91"/>
      <c r="ID1194" s="91"/>
      <c r="IE1194" s="91"/>
    </row>
    <row r="1195" spans="2:239" ht="15" x14ac:dyDescent="0.2">
      <c r="B1195" s="91"/>
      <c r="C1195" s="91"/>
      <c r="D1195" s="91"/>
      <c r="E1195" s="227"/>
      <c r="F1195" s="91"/>
      <c r="G1195" s="91"/>
      <c r="H1195" s="91"/>
      <c r="I1195" s="91"/>
      <c r="J1195" s="91"/>
      <c r="K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c r="FB1195" s="91"/>
      <c r="FC1195" s="91"/>
      <c r="FD1195" s="91"/>
      <c r="FE1195" s="91"/>
      <c r="FF1195" s="91"/>
      <c r="FG1195" s="91"/>
      <c r="FH1195" s="91"/>
      <c r="FI1195" s="91"/>
      <c r="FJ1195" s="91"/>
      <c r="FK1195" s="91"/>
      <c r="FL1195" s="91"/>
      <c r="FM1195" s="91"/>
      <c r="FN1195" s="91"/>
      <c r="FO1195" s="91"/>
      <c r="FP1195" s="91"/>
      <c r="FQ1195" s="91"/>
      <c r="FR1195" s="91"/>
      <c r="FS1195" s="91"/>
      <c r="FT1195" s="91"/>
      <c r="FU1195" s="91"/>
      <c r="FV1195" s="91"/>
      <c r="FW1195" s="91"/>
      <c r="FX1195" s="91"/>
      <c r="FY1195" s="91"/>
      <c r="FZ1195" s="91"/>
      <c r="GA1195" s="91"/>
      <c r="GB1195" s="91"/>
      <c r="GC1195" s="91"/>
      <c r="GD1195" s="91"/>
      <c r="GE1195" s="91"/>
      <c r="GF1195" s="91"/>
      <c r="GG1195" s="91"/>
      <c r="GH1195" s="91"/>
      <c r="GI1195" s="91"/>
      <c r="GJ1195" s="91"/>
      <c r="GK1195" s="91"/>
      <c r="GL1195" s="91"/>
      <c r="GM1195" s="91"/>
      <c r="GN1195" s="91"/>
      <c r="GO1195" s="91"/>
      <c r="GP1195" s="91"/>
      <c r="GQ1195" s="91"/>
      <c r="GR1195" s="91"/>
      <c r="GS1195" s="91"/>
      <c r="GT1195" s="91"/>
      <c r="GU1195" s="91"/>
      <c r="GV1195" s="91"/>
      <c r="GW1195" s="91"/>
      <c r="GX1195" s="91"/>
      <c r="GY1195" s="91"/>
      <c r="GZ1195" s="91"/>
      <c r="HA1195" s="91"/>
      <c r="HB1195" s="91"/>
      <c r="HC1195" s="91"/>
      <c r="HD1195" s="91"/>
      <c r="HE1195" s="91"/>
      <c r="HF1195" s="91"/>
      <c r="HG1195" s="91"/>
      <c r="HH1195" s="91"/>
      <c r="HI1195" s="91"/>
      <c r="HJ1195" s="91"/>
      <c r="HK1195" s="91"/>
      <c r="HL1195" s="91"/>
      <c r="HM1195" s="91"/>
      <c r="HN1195" s="91"/>
      <c r="HO1195" s="91"/>
      <c r="HP1195" s="91"/>
      <c r="HQ1195" s="91"/>
      <c r="HR1195" s="91"/>
      <c r="HS1195" s="91"/>
      <c r="HT1195" s="91"/>
      <c r="HU1195" s="91"/>
      <c r="HV1195" s="91"/>
      <c r="HW1195" s="91"/>
      <c r="HX1195" s="91"/>
      <c r="HY1195" s="91"/>
      <c r="HZ1195" s="91"/>
      <c r="IA1195" s="91"/>
      <c r="IB1195" s="91"/>
      <c r="IC1195" s="91"/>
      <c r="ID1195" s="91"/>
      <c r="IE1195" s="91"/>
    </row>
    <row r="1196" spans="2:239" ht="15" x14ac:dyDescent="0.2">
      <c r="B1196" s="91"/>
      <c r="C1196" s="91"/>
      <c r="D1196" s="91"/>
      <c r="E1196" s="227"/>
      <c r="F1196" s="91"/>
      <c r="G1196" s="91"/>
      <c r="H1196" s="91"/>
      <c r="I1196" s="91"/>
      <c r="J1196" s="91"/>
      <c r="K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c r="FB1196" s="91"/>
      <c r="FC1196" s="91"/>
      <c r="FD1196" s="91"/>
      <c r="FE1196" s="91"/>
      <c r="FF1196" s="91"/>
      <c r="FG1196" s="91"/>
      <c r="FH1196" s="91"/>
      <c r="FI1196" s="91"/>
      <c r="FJ1196" s="91"/>
      <c r="FK1196" s="91"/>
      <c r="FL1196" s="91"/>
      <c r="FM1196" s="91"/>
      <c r="FN1196" s="91"/>
      <c r="FO1196" s="91"/>
      <c r="FP1196" s="91"/>
      <c r="FQ1196" s="91"/>
      <c r="FR1196" s="91"/>
      <c r="FS1196" s="91"/>
      <c r="FT1196" s="91"/>
      <c r="FU1196" s="91"/>
      <c r="FV1196" s="91"/>
      <c r="FW1196" s="91"/>
      <c r="FX1196" s="91"/>
      <c r="FY1196" s="91"/>
      <c r="FZ1196" s="91"/>
      <c r="GA1196" s="91"/>
      <c r="GB1196" s="91"/>
      <c r="GC1196" s="91"/>
      <c r="GD1196" s="91"/>
      <c r="GE1196" s="91"/>
      <c r="GF1196" s="91"/>
      <c r="GG1196" s="91"/>
      <c r="GH1196" s="91"/>
      <c r="GI1196" s="91"/>
      <c r="GJ1196" s="91"/>
      <c r="GK1196" s="91"/>
      <c r="GL1196" s="91"/>
      <c r="GM1196" s="91"/>
      <c r="GN1196" s="91"/>
      <c r="GO1196" s="91"/>
      <c r="GP1196" s="91"/>
      <c r="GQ1196" s="91"/>
      <c r="GR1196" s="91"/>
      <c r="GS1196" s="91"/>
      <c r="GT1196" s="91"/>
      <c r="GU1196" s="91"/>
      <c r="GV1196" s="91"/>
      <c r="GW1196" s="91"/>
      <c r="GX1196" s="91"/>
      <c r="GY1196" s="91"/>
      <c r="GZ1196" s="91"/>
      <c r="HA1196" s="91"/>
      <c r="HB1196" s="91"/>
      <c r="HC1196" s="91"/>
      <c r="HD1196" s="91"/>
      <c r="HE1196" s="91"/>
      <c r="HF1196" s="91"/>
      <c r="HG1196" s="91"/>
      <c r="HH1196" s="91"/>
      <c r="HI1196" s="91"/>
      <c r="HJ1196" s="91"/>
      <c r="HK1196" s="91"/>
      <c r="HL1196" s="91"/>
      <c r="HM1196" s="91"/>
      <c r="HN1196" s="91"/>
      <c r="HO1196" s="91"/>
      <c r="HP1196" s="91"/>
      <c r="HQ1196" s="91"/>
      <c r="HR1196" s="91"/>
      <c r="HS1196" s="91"/>
      <c r="HT1196" s="91"/>
      <c r="HU1196" s="91"/>
      <c r="HV1196" s="91"/>
      <c r="HW1196" s="91"/>
      <c r="HX1196" s="91"/>
      <c r="HY1196" s="91"/>
      <c r="HZ1196" s="91"/>
      <c r="IA1196" s="91"/>
      <c r="IB1196" s="91"/>
      <c r="IC1196" s="91"/>
      <c r="ID1196" s="91"/>
      <c r="IE1196" s="91"/>
    </row>
    <row r="1197" spans="2:239" ht="15" x14ac:dyDescent="0.2">
      <c r="B1197" s="91"/>
      <c r="C1197" s="91"/>
      <c r="D1197" s="91"/>
      <c r="E1197" s="227"/>
      <c r="F1197" s="91"/>
      <c r="G1197" s="91"/>
      <c r="H1197" s="91"/>
      <c r="I1197" s="91"/>
      <c r="J1197" s="91"/>
      <c r="K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c r="FB1197" s="91"/>
      <c r="FC1197" s="91"/>
      <c r="FD1197" s="91"/>
      <c r="FE1197" s="91"/>
      <c r="FF1197" s="91"/>
      <c r="FG1197" s="91"/>
      <c r="FH1197" s="91"/>
      <c r="FI1197" s="91"/>
      <c r="FJ1197" s="91"/>
      <c r="FK1197" s="91"/>
      <c r="FL1197" s="91"/>
      <c r="FM1197" s="91"/>
      <c r="FN1197" s="91"/>
      <c r="FO1197" s="91"/>
      <c r="FP1197" s="91"/>
      <c r="FQ1197" s="91"/>
      <c r="FR1197" s="91"/>
      <c r="FS1197" s="91"/>
      <c r="FT1197" s="91"/>
      <c r="FU1197" s="91"/>
      <c r="FV1197" s="91"/>
      <c r="FW1197" s="91"/>
      <c r="FX1197" s="91"/>
      <c r="FY1197" s="91"/>
      <c r="FZ1197" s="91"/>
      <c r="GA1197" s="91"/>
      <c r="GB1197" s="91"/>
      <c r="GC1197" s="91"/>
      <c r="GD1197" s="91"/>
      <c r="GE1197" s="91"/>
      <c r="GF1197" s="91"/>
      <c r="GG1197" s="91"/>
      <c r="GH1197" s="91"/>
      <c r="GI1197" s="91"/>
      <c r="GJ1197" s="91"/>
      <c r="GK1197" s="91"/>
      <c r="GL1197" s="91"/>
      <c r="GM1197" s="91"/>
      <c r="GN1197" s="91"/>
      <c r="GO1197" s="91"/>
      <c r="GP1197" s="91"/>
      <c r="GQ1197" s="91"/>
      <c r="GR1197" s="91"/>
      <c r="GS1197" s="91"/>
      <c r="GT1197" s="91"/>
      <c r="GU1197" s="91"/>
      <c r="GV1197" s="91"/>
      <c r="GW1197" s="91"/>
      <c r="GX1197" s="91"/>
      <c r="GY1197" s="91"/>
      <c r="GZ1197" s="91"/>
      <c r="HA1197" s="91"/>
      <c r="HB1197" s="91"/>
      <c r="HC1197" s="91"/>
      <c r="HD1197" s="91"/>
      <c r="HE1197" s="91"/>
      <c r="HF1197" s="91"/>
      <c r="HG1197" s="91"/>
      <c r="HH1197" s="91"/>
      <c r="HI1197" s="91"/>
      <c r="HJ1197" s="91"/>
      <c r="HK1197" s="91"/>
      <c r="HL1197" s="91"/>
      <c r="HM1197" s="91"/>
      <c r="HN1197" s="91"/>
      <c r="HO1197" s="91"/>
      <c r="HP1197" s="91"/>
      <c r="HQ1197" s="91"/>
      <c r="HR1197" s="91"/>
      <c r="HS1197" s="91"/>
      <c r="HT1197" s="91"/>
      <c r="HU1197" s="91"/>
      <c r="HV1197" s="91"/>
      <c r="HW1197" s="91"/>
      <c r="HX1197" s="91"/>
      <c r="HY1197" s="91"/>
      <c r="HZ1197" s="91"/>
      <c r="IA1197" s="91"/>
      <c r="IB1197" s="91"/>
      <c r="IC1197" s="91"/>
      <c r="ID1197" s="91"/>
      <c r="IE1197" s="91"/>
    </row>
    <row r="1198" spans="2:239" ht="15" x14ac:dyDescent="0.2">
      <c r="B1198" s="91"/>
      <c r="C1198" s="91"/>
      <c r="D1198" s="91"/>
      <c r="E1198" s="227"/>
      <c r="F1198" s="91"/>
      <c r="G1198" s="91"/>
      <c r="H1198" s="91"/>
      <c r="I1198" s="91"/>
      <c r="J1198" s="91"/>
      <c r="K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c r="FB1198" s="91"/>
      <c r="FC1198" s="91"/>
      <c r="FD1198" s="91"/>
      <c r="FE1198" s="91"/>
      <c r="FF1198" s="91"/>
      <c r="FG1198" s="91"/>
      <c r="FH1198" s="91"/>
      <c r="FI1198" s="91"/>
      <c r="FJ1198" s="91"/>
      <c r="FK1198" s="91"/>
      <c r="FL1198" s="91"/>
      <c r="FM1198" s="91"/>
      <c r="FN1198" s="91"/>
      <c r="FO1198" s="91"/>
      <c r="FP1198" s="91"/>
      <c r="FQ1198" s="91"/>
      <c r="FR1198" s="91"/>
      <c r="FS1198" s="91"/>
      <c r="FT1198" s="91"/>
      <c r="FU1198" s="91"/>
      <c r="FV1198" s="91"/>
      <c r="FW1198" s="91"/>
      <c r="FX1198" s="91"/>
      <c r="FY1198" s="91"/>
      <c r="FZ1198" s="91"/>
      <c r="GA1198" s="91"/>
      <c r="GB1198" s="91"/>
      <c r="GC1198" s="91"/>
      <c r="GD1198" s="91"/>
      <c r="GE1198" s="91"/>
      <c r="GF1198" s="91"/>
      <c r="GG1198" s="91"/>
      <c r="GH1198" s="91"/>
      <c r="GI1198" s="91"/>
      <c r="GJ1198" s="91"/>
      <c r="GK1198" s="91"/>
      <c r="GL1198" s="91"/>
      <c r="GM1198" s="91"/>
      <c r="GN1198" s="91"/>
      <c r="GO1198" s="91"/>
      <c r="GP1198" s="91"/>
      <c r="GQ1198" s="91"/>
      <c r="GR1198" s="91"/>
      <c r="GS1198" s="91"/>
      <c r="GT1198" s="91"/>
      <c r="GU1198" s="91"/>
      <c r="GV1198" s="91"/>
      <c r="GW1198" s="91"/>
      <c r="GX1198" s="91"/>
      <c r="GY1198" s="91"/>
      <c r="GZ1198" s="91"/>
      <c r="HA1198" s="91"/>
      <c r="HB1198" s="91"/>
      <c r="HC1198" s="91"/>
      <c r="HD1198" s="91"/>
      <c r="HE1198" s="91"/>
      <c r="HF1198" s="91"/>
      <c r="HG1198" s="91"/>
      <c r="HH1198" s="91"/>
      <c r="HI1198" s="91"/>
      <c r="HJ1198" s="91"/>
      <c r="HK1198" s="91"/>
      <c r="HL1198" s="91"/>
      <c r="HM1198" s="91"/>
      <c r="HN1198" s="91"/>
      <c r="HO1198" s="91"/>
      <c r="HP1198" s="91"/>
      <c r="HQ1198" s="91"/>
      <c r="HR1198" s="91"/>
      <c r="HS1198" s="91"/>
      <c r="HT1198" s="91"/>
      <c r="HU1198" s="91"/>
      <c r="HV1198" s="91"/>
      <c r="HW1198" s="91"/>
      <c r="HX1198" s="91"/>
      <c r="HY1198" s="91"/>
      <c r="HZ1198" s="91"/>
      <c r="IA1198" s="91"/>
      <c r="IB1198" s="91"/>
      <c r="IC1198" s="91"/>
      <c r="ID1198" s="91"/>
      <c r="IE1198" s="91"/>
    </row>
    <row r="1199" spans="2:239" ht="15" x14ac:dyDescent="0.2">
      <c r="B1199" s="91"/>
      <c r="C1199" s="91"/>
      <c r="D1199" s="91"/>
      <c r="E1199" s="227"/>
      <c r="F1199" s="91"/>
      <c r="G1199" s="91"/>
      <c r="H1199" s="91"/>
      <c r="I1199" s="91"/>
      <c r="J1199" s="91"/>
      <c r="K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c r="FB1199" s="91"/>
      <c r="FC1199" s="91"/>
      <c r="FD1199" s="91"/>
      <c r="FE1199" s="91"/>
      <c r="FF1199" s="91"/>
      <c r="FG1199" s="91"/>
      <c r="FH1199" s="91"/>
      <c r="FI1199" s="91"/>
      <c r="FJ1199" s="91"/>
      <c r="FK1199" s="91"/>
      <c r="FL1199" s="91"/>
      <c r="FM1199" s="91"/>
      <c r="FN1199" s="91"/>
      <c r="FO1199" s="91"/>
      <c r="FP1199" s="91"/>
      <c r="FQ1199" s="91"/>
      <c r="FR1199" s="91"/>
      <c r="FS1199" s="91"/>
      <c r="FT1199" s="91"/>
      <c r="FU1199" s="91"/>
      <c r="FV1199" s="91"/>
      <c r="FW1199" s="91"/>
      <c r="FX1199" s="91"/>
      <c r="FY1199" s="91"/>
      <c r="FZ1199" s="91"/>
      <c r="GA1199" s="91"/>
      <c r="GB1199" s="91"/>
      <c r="GC1199" s="91"/>
      <c r="GD1199" s="91"/>
      <c r="GE1199" s="91"/>
      <c r="GF1199" s="91"/>
      <c r="GG1199" s="91"/>
      <c r="GH1199" s="91"/>
      <c r="GI1199" s="91"/>
      <c r="GJ1199" s="91"/>
      <c r="GK1199" s="91"/>
      <c r="GL1199" s="91"/>
      <c r="GM1199" s="91"/>
      <c r="GN1199" s="91"/>
      <c r="GO1199" s="91"/>
      <c r="GP1199" s="91"/>
      <c r="GQ1199" s="91"/>
      <c r="GR1199" s="91"/>
      <c r="GS1199" s="91"/>
      <c r="GT1199" s="91"/>
      <c r="GU1199" s="91"/>
      <c r="GV1199" s="91"/>
      <c r="GW1199" s="91"/>
      <c r="GX1199" s="91"/>
      <c r="GY1199" s="91"/>
      <c r="GZ1199" s="91"/>
      <c r="HA1199" s="91"/>
      <c r="HB1199" s="91"/>
      <c r="HC1199" s="91"/>
      <c r="HD1199" s="91"/>
      <c r="HE1199" s="91"/>
      <c r="HF1199" s="91"/>
      <c r="HG1199" s="91"/>
      <c r="HH1199" s="91"/>
      <c r="HI1199" s="91"/>
      <c r="HJ1199" s="91"/>
      <c r="HK1199" s="91"/>
      <c r="HL1199" s="91"/>
      <c r="HM1199" s="91"/>
      <c r="HN1199" s="91"/>
      <c r="HO1199" s="91"/>
      <c r="HP1199" s="91"/>
      <c r="HQ1199" s="91"/>
      <c r="HR1199" s="91"/>
      <c r="HS1199" s="91"/>
      <c r="HT1199" s="91"/>
      <c r="HU1199" s="91"/>
      <c r="HV1199" s="91"/>
      <c r="HW1199" s="91"/>
      <c r="HX1199" s="91"/>
      <c r="HY1199" s="91"/>
      <c r="HZ1199" s="91"/>
      <c r="IA1199" s="91"/>
      <c r="IB1199" s="91"/>
      <c r="IC1199" s="91"/>
      <c r="ID1199" s="91"/>
      <c r="IE1199" s="91"/>
    </row>
    <row r="1200" spans="2:239" ht="15" x14ac:dyDescent="0.2">
      <c r="B1200" s="91"/>
      <c r="C1200" s="91"/>
      <c r="D1200" s="91"/>
      <c r="E1200" s="227"/>
      <c r="F1200" s="91"/>
      <c r="G1200" s="91"/>
      <c r="H1200" s="91"/>
      <c r="I1200" s="91"/>
      <c r="J1200" s="91"/>
      <c r="K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c r="FB1200" s="91"/>
      <c r="FC1200" s="91"/>
      <c r="FD1200" s="91"/>
      <c r="FE1200" s="91"/>
      <c r="FF1200" s="91"/>
      <c r="FG1200" s="91"/>
      <c r="FH1200" s="91"/>
      <c r="FI1200" s="91"/>
      <c r="FJ1200" s="91"/>
      <c r="FK1200" s="91"/>
      <c r="FL1200" s="91"/>
      <c r="FM1200" s="91"/>
      <c r="FN1200" s="91"/>
      <c r="FO1200" s="91"/>
      <c r="FP1200" s="91"/>
      <c r="FQ1200" s="91"/>
      <c r="FR1200" s="91"/>
      <c r="FS1200" s="91"/>
      <c r="FT1200" s="91"/>
      <c r="FU1200" s="91"/>
      <c r="FV1200" s="91"/>
      <c r="FW1200" s="91"/>
      <c r="FX1200" s="91"/>
      <c r="FY1200" s="91"/>
      <c r="FZ1200" s="91"/>
      <c r="GA1200" s="91"/>
      <c r="GB1200" s="91"/>
      <c r="GC1200" s="91"/>
      <c r="GD1200" s="91"/>
      <c r="GE1200" s="91"/>
      <c r="GF1200" s="91"/>
      <c r="GG1200" s="91"/>
      <c r="GH1200" s="91"/>
      <c r="GI1200" s="91"/>
      <c r="GJ1200" s="91"/>
      <c r="GK1200" s="91"/>
      <c r="GL1200" s="91"/>
      <c r="GM1200" s="91"/>
      <c r="GN1200" s="91"/>
      <c r="GO1200" s="91"/>
      <c r="GP1200" s="91"/>
      <c r="GQ1200" s="91"/>
      <c r="GR1200" s="91"/>
      <c r="GS1200" s="91"/>
      <c r="GT1200" s="91"/>
      <c r="GU1200" s="91"/>
      <c r="GV1200" s="91"/>
      <c r="GW1200" s="91"/>
      <c r="GX1200" s="91"/>
      <c r="GY1200" s="91"/>
      <c r="GZ1200" s="91"/>
      <c r="HA1200" s="91"/>
      <c r="HB1200" s="91"/>
      <c r="HC1200" s="91"/>
      <c r="HD1200" s="91"/>
      <c r="HE1200" s="91"/>
      <c r="HF1200" s="91"/>
      <c r="HG1200" s="91"/>
      <c r="HH1200" s="91"/>
      <c r="HI1200" s="91"/>
      <c r="HJ1200" s="91"/>
      <c r="HK1200" s="91"/>
      <c r="HL1200" s="91"/>
      <c r="HM1200" s="91"/>
      <c r="HN1200" s="91"/>
      <c r="HO1200" s="91"/>
      <c r="HP1200" s="91"/>
      <c r="HQ1200" s="91"/>
      <c r="HR1200" s="91"/>
      <c r="HS1200" s="91"/>
      <c r="HT1200" s="91"/>
      <c r="HU1200" s="91"/>
      <c r="HV1200" s="91"/>
      <c r="HW1200" s="91"/>
      <c r="HX1200" s="91"/>
      <c r="HY1200" s="91"/>
      <c r="HZ1200" s="91"/>
      <c r="IA1200" s="91"/>
      <c r="IB1200" s="91"/>
      <c r="IC1200" s="91"/>
      <c r="ID1200" s="91"/>
      <c r="IE1200" s="91"/>
    </row>
    <row r="1201" spans="2:239" ht="15" x14ac:dyDescent="0.2">
      <c r="B1201" s="91"/>
      <c r="C1201" s="91"/>
      <c r="D1201" s="91"/>
      <c r="E1201" s="227"/>
      <c r="F1201" s="91"/>
      <c r="G1201" s="91"/>
      <c r="H1201" s="91"/>
      <c r="I1201" s="91"/>
      <c r="J1201" s="91"/>
      <c r="K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c r="FB1201" s="91"/>
      <c r="FC1201" s="91"/>
      <c r="FD1201" s="91"/>
      <c r="FE1201" s="91"/>
      <c r="FF1201" s="91"/>
      <c r="FG1201" s="91"/>
      <c r="FH1201" s="91"/>
      <c r="FI1201" s="91"/>
      <c r="FJ1201" s="91"/>
      <c r="FK1201" s="91"/>
      <c r="FL1201" s="91"/>
      <c r="FM1201" s="91"/>
      <c r="FN1201" s="91"/>
      <c r="FO1201" s="91"/>
      <c r="FP1201" s="91"/>
      <c r="FQ1201" s="91"/>
      <c r="FR1201" s="91"/>
      <c r="FS1201" s="91"/>
      <c r="FT1201" s="91"/>
      <c r="FU1201" s="91"/>
      <c r="FV1201" s="91"/>
      <c r="FW1201" s="91"/>
      <c r="FX1201" s="91"/>
      <c r="FY1201" s="91"/>
      <c r="FZ1201" s="91"/>
      <c r="GA1201" s="91"/>
      <c r="GB1201" s="91"/>
      <c r="GC1201" s="91"/>
      <c r="GD1201" s="91"/>
      <c r="GE1201" s="91"/>
      <c r="GF1201" s="91"/>
      <c r="GG1201" s="91"/>
      <c r="GH1201" s="91"/>
      <c r="GI1201" s="91"/>
      <c r="GJ1201" s="91"/>
      <c r="GK1201" s="91"/>
      <c r="GL1201" s="91"/>
      <c r="GM1201" s="91"/>
      <c r="GN1201" s="91"/>
      <c r="GO1201" s="91"/>
      <c r="GP1201" s="91"/>
      <c r="GQ1201" s="91"/>
      <c r="GR1201" s="91"/>
      <c r="GS1201" s="91"/>
      <c r="GT1201" s="91"/>
      <c r="GU1201" s="91"/>
      <c r="GV1201" s="91"/>
      <c r="GW1201" s="91"/>
      <c r="GX1201" s="91"/>
      <c r="GY1201" s="91"/>
      <c r="GZ1201" s="91"/>
      <c r="HA1201" s="91"/>
      <c r="HB1201" s="91"/>
      <c r="HC1201" s="91"/>
      <c r="HD1201" s="91"/>
      <c r="HE1201" s="91"/>
      <c r="HF1201" s="91"/>
      <c r="HG1201" s="91"/>
      <c r="HH1201" s="91"/>
      <c r="HI1201" s="91"/>
      <c r="HJ1201" s="91"/>
      <c r="HK1201" s="91"/>
      <c r="HL1201" s="91"/>
      <c r="HM1201" s="91"/>
      <c r="HN1201" s="91"/>
      <c r="HO1201" s="91"/>
      <c r="HP1201" s="91"/>
      <c r="HQ1201" s="91"/>
      <c r="HR1201" s="91"/>
      <c r="HS1201" s="91"/>
      <c r="HT1201" s="91"/>
      <c r="HU1201" s="91"/>
      <c r="HV1201" s="91"/>
      <c r="HW1201" s="91"/>
      <c r="HX1201" s="91"/>
      <c r="HY1201" s="91"/>
      <c r="HZ1201" s="91"/>
      <c r="IA1201" s="91"/>
      <c r="IB1201" s="91"/>
      <c r="IC1201" s="91"/>
      <c r="ID1201" s="91"/>
      <c r="IE1201" s="91"/>
    </row>
    <row r="1202" spans="2:239" ht="15" x14ac:dyDescent="0.2">
      <c r="B1202" s="91"/>
      <c r="C1202" s="91"/>
      <c r="D1202" s="91"/>
      <c r="E1202" s="227"/>
      <c r="F1202" s="91"/>
      <c r="G1202" s="91"/>
      <c r="H1202" s="91"/>
      <c r="I1202" s="91"/>
      <c r="J1202" s="91"/>
      <c r="K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c r="FB1202" s="91"/>
      <c r="FC1202" s="91"/>
      <c r="FD1202" s="91"/>
      <c r="FE1202" s="91"/>
      <c r="FF1202" s="91"/>
      <c r="FG1202" s="91"/>
      <c r="FH1202" s="91"/>
      <c r="FI1202" s="91"/>
      <c r="FJ1202" s="91"/>
      <c r="FK1202" s="91"/>
      <c r="FL1202" s="91"/>
      <c r="FM1202" s="91"/>
      <c r="FN1202" s="91"/>
      <c r="FO1202" s="91"/>
      <c r="FP1202" s="91"/>
      <c r="FQ1202" s="91"/>
      <c r="FR1202" s="91"/>
      <c r="FS1202" s="91"/>
      <c r="FT1202" s="91"/>
      <c r="FU1202" s="91"/>
      <c r="FV1202" s="91"/>
      <c r="FW1202" s="91"/>
      <c r="FX1202" s="91"/>
      <c r="FY1202" s="91"/>
      <c r="FZ1202" s="91"/>
      <c r="GA1202" s="91"/>
      <c r="GB1202" s="91"/>
      <c r="GC1202" s="91"/>
      <c r="GD1202" s="91"/>
      <c r="GE1202" s="91"/>
      <c r="GF1202" s="91"/>
      <c r="GG1202" s="91"/>
      <c r="GH1202" s="91"/>
      <c r="GI1202" s="91"/>
      <c r="GJ1202" s="91"/>
      <c r="GK1202" s="91"/>
      <c r="GL1202" s="91"/>
      <c r="GM1202" s="91"/>
      <c r="GN1202" s="91"/>
      <c r="GO1202" s="91"/>
      <c r="GP1202" s="91"/>
      <c r="GQ1202" s="91"/>
      <c r="GR1202" s="91"/>
      <c r="GS1202" s="91"/>
      <c r="GT1202" s="91"/>
      <c r="GU1202" s="91"/>
      <c r="GV1202" s="91"/>
      <c r="GW1202" s="91"/>
      <c r="GX1202" s="91"/>
      <c r="GY1202" s="91"/>
      <c r="GZ1202" s="91"/>
      <c r="HA1202" s="91"/>
      <c r="HB1202" s="91"/>
      <c r="HC1202" s="91"/>
      <c r="HD1202" s="91"/>
      <c r="HE1202" s="91"/>
      <c r="HF1202" s="91"/>
      <c r="HG1202" s="91"/>
      <c r="HH1202" s="91"/>
      <c r="HI1202" s="91"/>
      <c r="HJ1202" s="91"/>
      <c r="HK1202" s="91"/>
      <c r="HL1202" s="91"/>
      <c r="HM1202" s="91"/>
      <c r="HN1202" s="91"/>
      <c r="HO1202" s="91"/>
      <c r="HP1202" s="91"/>
      <c r="HQ1202" s="91"/>
      <c r="HR1202" s="91"/>
      <c r="HS1202" s="91"/>
      <c r="HT1202" s="91"/>
      <c r="HU1202" s="91"/>
      <c r="HV1202" s="91"/>
      <c r="HW1202" s="91"/>
      <c r="HX1202" s="91"/>
      <c r="HY1202" s="91"/>
      <c r="HZ1202" s="91"/>
      <c r="IA1202" s="91"/>
      <c r="IB1202" s="91"/>
      <c r="IC1202" s="91"/>
      <c r="ID1202" s="91"/>
      <c r="IE1202" s="91"/>
    </row>
    <row r="1203" spans="2:239" ht="15" x14ac:dyDescent="0.2">
      <c r="B1203" s="91"/>
      <c r="C1203" s="91"/>
      <c r="D1203" s="91"/>
      <c r="E1203" s="227"/>
      <c r="F1203" s="91"/>
      <c r="G1203" s="91"/>
      <c r="H1203" s="91"/>
      <c r="I1203" s="91"/>
      <c r="J1203" s="91"/>
      <c r="K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c r="FB1203" s="91"/>
      <c r="FC1203" s="91"/>
      <c r="FD1203" s="91"/>
      <c r="FE1203" s="91"/>
      <c r="FF1203" s="91"/>
      <c r="FG1203" s="91"/>
      <c r="FH1203" s="91"/>
      <c r="FI1203" s="91"/>
      <c r="FJ1203" s="91"/>
      <c r="FK1203" s="91"/>
      <c r="FL1203" s="91"/>
      <c r="FM1203" s="91"/>
      <c r="FN1203" s="91"/>
      <c r="FO1203" s="91"/>
      <c r="FP1203" s="91"/>
      <c r="FQ1203" s="91"/>
      <c r="FR1203" s="91"/>
      <c r="FS1203" s="91"/>
      <c r="FT1203" s="91"/>
      <c r="FU1203" s="91"/>
      <c r="FV1203" s="91"/>
      <c r="FW1203" s="91"/>
      <c r="FX1203" s="91"/>
      <c r="FY1203" s="91"/>
      <c r="FZ1203" s="91"/>
      <c r="GA1203" s="91"/>
      <c r="GB1203" s="91"/>
      <c r="GC1203" s="91"/>
      <c r="GD1203" s="91"/>
      <c r="GE1203" s="91"/>
      <c r="GF1203" s="91"/>
      <c r="GG1203" s="91"/>
      <c r="GH1203" s="91"/>
      <c r="GI1203" s="91"/>
      <c r="GJ1203" s="91"/>
      <c r="GK1203" s="91"/>
      <c r="GL1203" s="91"/>
      <c r="GM1203" s="91"/>
      <c r="GN1203" s="91"/>
      <c r="GO1203" s="91"/>
      <c r="GP1203" s="91"/>
      <c r="GQ1203" s="91"/>
      <c r="GR1203" s="91"/>
      <c r="GS1203" s="91"/>
      <c r="GT1203" s="91"/>
      <c r="GU1203" s="91"/>
      <c r="GV1203" s="91"/>
      <c r="GW1203" s="91"/>
      <c r="GX1203" s="91"/>
      <c r="GY1203" s="91"/>
      <c r="GZ1203" s="91"/>
      <c r="HA1203" s="91"/>
      <c r="HB1203" s="91"/>
      <c r="HC1203" s="91"/>
      <c r="HD1203" s="91"/>
      <c r="HE1203" s="91"/>
      <c r="HF1203" s="91"/>
      <c r="HG1203" s="91"/>
      <c r="HH1203" s="91"/>
      <c r="HI1203" s="91"/>
      <c r="HJ1203" s="91"/>
      <c r="HK1203" s="91"/>
      <c r="HL1203" s="91"/>
      <c r="HM1203" s="91"/>
      <c r="HN1203" s="91"/>
      <c r="HO1203" s="91"/>
      <c r="HP1203" s="91"/>
      <c r="HQ1203" s="91"/>
      <c r="HR1203" s="91"/>
      <c r="HS1203" s="91"/>
      <c r="HT1203" s="91"/>
      <c r="HU1203" s="91"/>
      <c r="HV1203" s="91"/>
      <c r="HW1203" s="91"/>
      <c r="HX1203" s="91"/>
      <c r="HY1203" s="91"/>
      <c r="HZ1203" s="91"/>
      <c r="IA1203" s="91"/>
      <c r="IB1203" s="91"/>
      <c r="IC1203" s="91"/>
      <c r="ID1203" s="91"/>
      <c r="IE1203" s="91"/>
    </row>
    <row r="1204" spans="2:239" ht="15" x14ac:dyDescent="0.2">
      <c r="B1204" s="91"/>
      <c r="C1204" s="91"/>
      <c r="D1204" s="91"/>
      <c r="E1204" s="227"/>
      <c r="F1204" s="91"/>
      <c r="G1204" s="91"/>
      <c r="H1204" s="91"/>
      <c r="I1204" s="91"/>
      <c r="J1204" s="91"/>
      <c r="K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row>
    <row r="1205" spans="2:239" ht="15" x14ac:dyDescent="0.2">
      <c r="B1205" s="91"/>
      <c r="C1205" s="91"/>
      <c r="D1205" s="91"/>
      <c r="E1205" s="227"/>
      <c r="F1205" s="91"/>
      <c r="G1205" s="91"/>
      <c r="H1205" s="91"/>
      <c r="I1205" s="91"/>
      <c r="J1205" s="91"/>
      <c r="K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c r="FB1205" s="91"/>
      <c r="FC1205" s="91"/>
      <c r="FD1205" s="91"/>
      <c r="FE1205" s="91"/>
      <c r="FF1205" s="91"/>
      <c r="FG1205" s="91"/>
      <c r="FH1205" s="91"/>
      <c r="FI1205" s="91"/>
      <c r="FJ1205" s="91"/>
      <c r="FK1205" s="91"/>
      <c r="FL1205" s="91"/>
      <c r="FM1205" s="91"/>
      <c r="FN1205" s="91"/>
      <c r="FO1205" s="91"/>
      <c r="FP1205" s="91"/>
      <c r="FQ1205" s="91"/>
      <c r="FR1205" s="91"/>
      <c r="FS1205" s="91"/>
      <c r="FT1205" s="91"/>
      <c r="FU1205" s="91"/>
      <c r="FV1205" s="91"/>
      <c r="FW1205" s="91"/>
      <c r="FX1205" s="91"/>
      <c r="FY1205" s="91"/>
      <c r="FZ1205" s="91"/>
      <c r="GA1205" s="91"/>
      <c r="GB1205" s="91"/>
      <c r="GC1205" s="91"/>
      <c r="GD1205" s="91"/>
      <c r="GE1205" s="91"/>
      <c r="GF1205" s="91"/>
      <c r="GG1205" s="91"/>
      <c r="GH1205" s="91"/>
      <c r="GI1205" s="91"/>
      <c r="GJ1205" s="91"/>
      <c r="GK1205" s="91"/>
      <c r="GL1205" s="91"/>
      <c r="GM1205" s="91"/>
      <c r="GN1205" s="91"/>
      <c r="GO1205" s="91"/>
      <c r="GP1205" s="91"/>
      <c r="GQ1205" s="91"/>
      <c r="GR1205" s="91"/>
      <c r="GS1205" s="91"/>
      <c r="GT1205" s="91"/>
      <c r="GU1205" s="91"/>
      <c r="GV1205" s="91"/>
      <c r="GW1205" s="91"/>
      <c r="GX1205" s="91"/>
      <c r="GY1205" s="91"/>
      <c r="GZ1205" s="91"/>
      <c r="HA1205" s="91"/>
      <c r="HB1205" s="91"/>
      <c r="HC1205" s="91"/>
      <c r="HD1205" s="91"/>
      <c r="HE1205" s="91"/>
      <c r="HF1205" s="91"/>
      <c r="HG1205" s="91"/>
      <c r="HH1205" s="91"/>
      <c r="HI1205" s="91"/>
      <c r="HJ1205" s="91"/>
      <c r="HK1205" s="91"/>
      <c r="HL1205" s="91"/>
      <c r="HM1205" s="91"/>
      <c r="HN1205" s="91"/>
      <c r="HO1205" s="91"/>
      <c r="HP1205" s="91"/>
      <c r="HQ1205" s="91"/>
      <c r="HR1205" s="91"/>
      <c r="HS1205" s="91"/>
      <c r="HT1205" s="91"/>
      <c r="HU1205" s="91"/>
      <c r="HV1205" s="91"/>
      <c r="HW1205" s="91"/>
      <c r="HX1205" s="91"/>
      <c r="HY1205" s="91"/>
      <c r="HZ1205" s="91"/>
      <c r="IA1205" s="91"/>
      <c r="IB1205" s="91"/>
      <c r="IC1205" s="91"/>
      <c r="ID1205" s="91"/>
      <c r="IE1205" s="91"/>
    </row>
    <row r="1206" spans="2:239" ht="15" x14ac:dyDescent="0.2">
      <c r="B1206" s="91"/>
      <c r="C1206" s="91"/>
      <c r="D1206" s="91"/>
      <c r="E1206" s="227"/>
      <c r="F1206" s="91"/>
      <c r="G1206" s="91"/>
      <c r="H1206" s="91"/>
      <c r="I1206" s="91"/>
      <c r="J1206" s="91"/>
      <c r="K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c r="FB1206" s="91"/>
      <c r="FC1206" s="91"/>
      <c r="FD1206" s="91"/>
      <c r="FE1206" s="91"/>
      <c r="FF1206" s="91"/>
      <c r="FG1206" s="91"/>
      <c r="FH1206" s="91"/>
      <c r="FI1206" s="91"/>
      <c r="FJ1206" s="91"/>
      <c r="FK1206" s="91"/>
      <c r="FL1206" s="91"/>
      <c r="FM1206" s="91"/>
      <c r="FN1206" s="91"/>
      <c r="FO1206" s="91"/>
      <c r="FP1206" s="91"/>
      <c r="FQ1206" s="91"/>
      <c r="FR1206" s="91"/>
      <c r="FS1206" s="91"/>
      <c r="FT1206" s="91"/>
      <c r="FU1206" s="91"/>
      <c r="FV1206" s="91"/>
      <c r="FW1206" s="91"/>
      <c r="FX1206" s="91"/>
      <c r="FY1206" s="91"/>
      <c r="FZ1206" s="91"/>
      <c r="GA1206" s="91"/>
      <c r="GB1206" s="91"/>
      <c r="GC1206" s="91"/>
      <c r="GD1206" s="91"/>
      <c r="GE1206" s="91"/>
      <c r="GF1206" s="91"/>
      <c r="GG1206" s="91"/>
      <c r="GH1206" s="91"/>
      <c r="GI1206" s="91"/>
      <c r="GJ1206" s="91"/>
      <c r="GK1206" s="91"/>
      <c r="GL1206" s="91"/>
      <c r="GM1206" s="91"/>
      <c r="GN1206" s="91"/>
      <c r="GO1206" s="91"/>
      <c r="GP1206" s="91"/>
      <c r="GQ1206" s="91"/>
      <c r="GR1206" s="91"/>
      <c r="GS1206" s="91"/>
      <c r="GT1206" s="91"/>
      <c r="GU1206" s="91"/>
      <c r="GV1206" s="91"/>
      <c r="GW1206" s="91"/>
      <c r="GX1206" s="91"/>
      <c r="GY1206" s="91"/>
      <c r="GZ1206" s="91"/>
      <c r="HA1206" s="91"/>
      <c r="HB1206" s="91"/>
      <c r="HC1206" s="91"/>
      <c r="HD1206" s="91"/>
      <c r="HE1206" s="91"/>
      <c r="HF1206" s="91"/>
      <c r="HG1206" s="91"/>
      <c r="HH1206" s="91"/>
      <c r="HI1206" s="91"/>
      <c r="HJ1206" s="91"/>
      <c r="HK1206" s="91"/>
      <c r="HL1206" s="91"/>
      <c r="HM1206" s="91"/>
      <c r="HN1206" s="91"/>
      <c r="HO1206" s="91"/>
      <c r="HP1206" s="91"/>
      <c r="HQ1206" s="91"/>
      <c r="HR1206" s="91"/>
      <c r="HS1206" s="91"/>
      <c r="HT1206" s="91"/>
      <c r="HU1206" s="91"/>
      <c r="HV1206" s="91"/>
      <c r="HW1206" s="91"/>
      <c r="HX1206" s="91"/>
      <c r="HY1206" s="91"/>
      <c r="HZ1206" s="91"/>
      <c r="IA1206" s="91"/>
      <c r="IB1206" s="91"/>
      <c r="IC1206" s="91"/>
      <c r="ID1206" s="91"/>
      <c r="IE1206" s="91"/>
    </row>
    <row r="1207" spans="2:239" ht="15" x14ac:dyDescent="0.2">
      <c r="B1207" s="91"/>
      <c r="C1207" s="91"/>
      <c r="D1207" s="91"/>
      <c r="E1207" s="227"/>
      <c r="F1207" s="91"/>
      <c r="G1207" s="91"/>
      <c r="H1207" s="91"/>
      <c r="I1207" s="91"/>
      <c r="J1207" s="91"/>
      <c r="K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c r="FB1207" s="91"/>
      <c r="FC1207" s="91"/>
      <c r="FD1207" s="91"/>
      <c r="FE1207" s="91"/>
      <c r="FF1207" s="91"/>
      <c r="FG1207" s="91"/>
      <c r="FH1207" s="91"/>
      <c r="FI1207" s="91"/>
      <c r="FJ1207" s="91"/>
      <c r="FK1207" s="91"/>
      <c r="FL1207" s="91"/>
      <c r="FM1207" s="91"/>
      <c r="FN1207" s="91"/>
      <c r="FO1207" s="91"/>
      <c r="FP1207" s="91"/>
      <c r="FQ1207" s="91"/>
      <c r="FR1207" s="91"/>
      <c r="FS1207" s="91"/>
      <c r="FT1207" s="91"/>
      <c r="FU1207" s="91"/>
      <c r="FV1207" s="91"/>
      <c r="FW1207" s="91"/>
      <c r="FX1207" s="91"/>
      <c r="FY1207" s="91"/>
      <c r="FZ1207" s="91"/>
      <c r="GA1207" s="91"/>
      <c r="GB1207" s="91"/>
      <c r="GC1207" s="91"/>
      <c r="GD1207" s="91"/>
      <c r="GE1207" s="91"/>
      <c r="GF1207" s="91"/>
      <c r="GG1207" s="91"/>
      <c r="GH1207" s="91"/>
      <c r="GI1207" s="91"/>
      <c r="GJ1207" s="91"/>
      <c r="GK1207" s="91"/>
      <c r="GL1207" s="91"/>
      <c r="GM1207" s="91"/>
      <c r="GN1207" s="91"/>
      <c r="GO1207" s="91"/>
      <c r="GP1207" s="91"/>
      <c r="GQ1207" s="91"/>
      <c r="GR1207" s="91"/>
      <c r="GS1207" s="91"/>
      <c r="GT1207" s="91"/>
      <c r="GU1207" s="91"/>
      <c r="GV1207" s="91"/>
      <c r="GW1207" s="91"/>
      <c r="GX1207" s="91"/>
      <c r="GY1207" s="91"/>
      <c r="GZ1207" s="91"/>
      <c r="HA1207" s="91"/>
      <c r="HB1207" s="91"/>
      <c r="HC1207" s="91"/>
      <c r="HD1207" s="91"/>
      <c r="HE1207" s="91"/>
      <c r="HF1207" s="91"/>
      <c r="HG1207" s="91"/>
      <c r="HH1207" s="91"/>
      <c r="HI1207" s="91"/>
      <c r="HJ1207" s="91"/>
      <c r="HK1207" s="91"/>
      <c r="HL1207" s="91"/>
      <c r="HM1207" s="91"/>
      <c r="HN1207" s="91"/>
      <c r="HO1207" s="91"/>
      <c r="HP1207" s="91"/>
      <c r="HQ1207" s="91"/>
      <c r="HR1207" s="91"/>
      <c r="HS1207" s="91"/>
      <c r="HT1207" s="91"/>
      <c r="HU1207" s="91"/>
      <c r="HV1207" s="91"/>
      <c r="HW1207" s="91"/>
      <c r="HX1207" s="91"/>
      <c r="HY1207" s="91"/>
      <c r="HZ1207" s="91"/>
      <c r="IA1207" s="91"/>
      <c r="IB1207" s="91"/>
      <c r="IC1207" s="91"/>
      <c r="ID1207" s="91"/>
      <c r="IE1207" s="91"/>
    </row>
    <row r="1208" spans="2:239" ht="15" x14ac:dyDescent="0.2">
      <c r="B1208" s="91"/>
      <c r="C1208" s="91"/>
      <c r="D1208" s="91"/>
      <c r="E1208" s="227"/>
      <c r="F1208" s="91"/>
      <c r="G1208" s="91"/>
      <c r="H1208" s="91"/>
      <c r="I1208" s="91"/>
      <c r="J1208" s="91"/>
      <c r="K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c r="FB1208" s="91"/>
      <c r="FC1208" s="91"/>
      <c r="FD1208" s="91"/>
      <c r="FE1208" s="91"/>
      <c r="FF1208" s="91"/>
      <c r="FG1208" s="91"/>
      <c r="FH1208" s="91"/>
      <c r="FI1208" s="91"/>
      <c r="FJ1208" s="91"/>
      <c r="FK1208" s="91"/>
      <c r="FL1208" s="91"/>
      <c r="FM1208" s="91"/>
      <c r="FN1208" s="91"/>
      <c r="FO1208" s="91"/>
      <c r="FP1208" s="91"/>
      <c r="FQ1208" s="91"/>
      <c r="FR1208" s="91"/>
      <c r="FS1208" s="91"/>
      <c r="FT1208" s="91"/>
      <c r="FU1208" s="91"/>
      <c r="FV1208" s="91"/>
      <c r="FW1208" s="91"/>
      <c r="FX1208" s="91"/>
      <c r="FY1208" s="91"/>
      <c r="FZ1208" s="91"/>
      <c r="GA1208" s="91"/>
      <c r="GB1208" s="91"/>
      <c r="GC1208" s="91"/>
      <c r="GD1208" s="91"/>
      <c r="GE1208" s="91"/>
      <c r="GF1208" s="91"/>
      <c r="GG1208" s="91"/>
      <c r="GH1208" s="91"/>
      <c r="GI1208" s="91"/>
      <c r="GJ1208" s="91"/>
      <c r="GK1208" s="91"/>
      <c r="GL1208" s="91"/>
      <c r="GM1208" s="91"/>
      <c r="GN1208" s="91"/>
      <c r="GO1208" s="91"/>
      <c r="GP1208" s="91"/>
      <c r="GQ1208" s="91"/>
      <c r="GR1208" s="91"/>
      <c r="GS1208" s="91"/>
      <c r="GT1208" s="91"/>
      <c r="GU1208" s="91"/>
      <c r="GV1208" s="91"/>
      <c r="GW1208" s="91"/>
      <c r="GX1208" s="91"/>
      <c r="GY1208" s="91"/>
      <c r="GZ1208" s="91"/>
      <c r="HA1208" s="91"/>
      <c r="HB1208" s="91"/>
      <c r="HC1208" s="91"/>
      <c r="HD1208" s="91"/>
      <c r="HE1208" s="91"/>
      <c r="HF1208" s="91"/>
      <c r="HG1208" s="91"/>
      <c r="HH1208" s="91"/>
      <c r="HI1208" s="91"/>
      <c r="HJ1208" s="91"/>
      <c r="HK1208" s="91"/>
      <c r="HL1208" s="91"/>
      <c r="HM1208" s="91"/>
      <c r="HN1208" s="91"/>
      <c r="HO1208" s="91"/>
      <c r="HP1208" s="91"/>
      <c r="HQ1208" s="91"/>
      <c r="HR1208" s="91"/>
      <c r="HS1208" s="91"/>
      <c r="HT1208" s="91"/>
      <c r="HU1208" s="91"/>
      <c r="HV1208" s="91"/>
      <c r="HW1208" s="91"/>
      <c r="HX1208" s="91"/>
      <c r="HY1208" s="91"/>
      <c r="HZ1208" s="91"/>
      <c r="IA1208" s="91"/>
      <c r="IB1208" s="91"/>
      <c r="IC1208" s="91"/>
      <c r="ID1208" s="91"/>
      <c r="IE1208" s="91"/>
    </row>
    <row r="1209" spans="2:239" ht="15" x14ac:dyDescent="0.2">
      <c r="B1209" s="91"/>
      <c r="C1209" s="91"/>
      <c r="D1209" s="91"/>
      <c r="E1209" s="227"/>
      <c r="F1209" s="91"/>
      <c r="G1209" s="91"/>
      <c r="H1209" s="91"/>
      <c r="I1209" s="91"/>
      <c r="J1209" s="91"/>
      <c r="K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c r="FB1209" s="91"/>
      <c r="FC1209" s="91"/>
      <c r="FD1209" s="91"/>
      <c r="FE1209" s="91"/>
      <c r="FF1209" s="91"/>
      <c r="FG1209" s="91"/>
      <c r="FH1209" s="91"/>
      <c r="FI1209" s="91"/>
      <c r="FJ1209" s="91"/>
      <c r="FK1209" s="91"/>
      <c r="FL1209" s="91"/>
      <c r="FM1209" s="91"/>
      <c r="FN1209" s="91"/>
      <c r="FO1209" s="91"/>
      <c r="FP1209" s="91"/>
      <c r="FQ1209" s="91"/>
      <c r="FR1209" s="91"/>
      <c r="FS1209" s="91"/>
      <c r="FT1209" s="91"/>
      <c r="FU1209" s="91"/>
      <c r="FV1209" s="91"/>
      <c r="FW1209" s="91"/>
      <c r="FX1209" s="91"/>
      <c r="FY1209" s="91"/>
      <c r="FZ1209" s="91"/>
      <c r="GA1209" s="91"/>
      <c r="GB1209" s="91"/>
      <c r="GC1209" s="91"/>
      <c r="GD1209" s="91"/>
      <c r="GE1209" s="91"/>
      <c r="GF1209" s="91"/>
      <c r="GG1209" s="91"/>
      <c r="GH1209" s="91"/>
      <c r="GI1209" s="91"/>
      <c r="GJ1209" s="91"/>
      <c r="GK1209" s="91"/>
      <c r="GL1209" s="91"/>
      <c r="GM1209" s="91"/>
      <c r="GN1209" s="91"/>
      <c r="GO1209" s="91"/>
      <c r="GP1209" s="91"/>
      <c r="GQ1209" s="91"/>
      <c r="GR1209" s="91"/>
      <c r="GS1209" s="91"/>
      <c r="GT1209" s="91"/>
      <c r="GU1209" s="91"/>
      <c r="GV1209" s="91"/>
      <c r="GW1209" s="91"/>
      <c r="GX1209" s="91"/>
      <c r="GY1209" s="91"/>
      <c r="GZ1209" s="91"/>
      <c r="HA1209" s="91"/>
      <c r="HB1209" s="91"/>
      <c r="HC1209" s="91"/>
      <c r="HD1209" s="91"/>
      <c r="HE1209" s="91"/>
      <c r="HF1209" s="91"/>
      <c r="HG1209" s="91"/>
      <c r="HH1209" s="91"/>
      <c r="HI1209" s="91"/>
      <c r="HJ1209" s="91"/>
      <c r="HK1209" s="91"/>
      <c r="HL1209" s="91"/>
      <c r="HM1209" s="91"/>
      <c r="HN1209" s="91"/>
      <c r="HO1209" s="91"/>
      <c r="HP1209" s="91"/>
      <c r="HQ1209" s="91"/>
      <c r="HR1209" s="91"/>
      <c r="HS1209" s="91"/>
      <c r="HT1209" s="91"/>
      <c r="HU1209" s="91"/>
      <c r="HV1209" s="91"/>
      <c r="HW1209" s="91"/>
      <c r="HX1209" s="91"/>
      <c r="HY1209" s="91"/>
      <c r="HZ1209" s="91"/>
      <c r="IA1209" s="91"/>
      <c r="IB1209" s="91"/>
      <c r="IC1209" s="91"/>
      <c r="ID1209" s="91"/>
      <c r="IE1209" s="91"/>
    </row>
    <row r="1210" spans="2:239" ht="15" x14ac:dyDescent="0.2">
      <c r="B1210" s="91"/>
      <c r="C1210" s="91"/>
      <c r="D1210" s="91"/>
      <c r="E1210" s="227"/>
      <c r="F1210" s="91"/>
      <c r="G1210" s="91"/>
      <c r="H1210" s="91"/>
      <c r="I1210" s="91"/>
      <c r="J1210" s="91"/>
      <c r="K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c r="FB1210" s="91"/>
      <c r="FC1210" s="91"/>
      <c r="FD1210" s="91"/>
      <c r="FE1210" s="91"/>
      <c r="FF1210" s="91"/>
      <c r="FG1210" s="91"/>
      <c r="FH1210" s="91"/>
      <c r="FI1210" s="91"/>
      <c r="FJ1210" s="91"/>
      <c r="FK1210" s="91"/>
      <c r="FL1210" s="91"/>
      <c r="FM1210" s="91"/>
      <c r="FN1210" s="91"/>
      <c r="FO1210" s="91"/>
      <c r="FP1210" s="91"/>
      <c r="FQ1210" s="91"/>
      <c r="FR1210" s="91"/>
      <c r="FS1210" s="91"/>
      <c r="FT1210" s="91"/>
      <c r="FU1210" s="91"/>
      <c r="FV1210" s="91"/>
      <c r="FW1210" s="91"/>
      <c r="FX1210" s="91"/>
      <c r="FY1210" s="91"/>
      <c r="FZ1210" s="91"/>
      <c r="GA1210" s="91"/>
      <c r="GB1210" s="91"/>
      <c r="GC1210" s="91"/>
      <c r="GD1210" s="91"/>
      <c r="GE1210" s="91"/>
      <c r="GF1210" s="91"/>
      <c r="GG1210" s="91"/>
      <c r="GH1210" s="91"/>
      <c r="GI1210" s="91"/>
      <c r="GJ1210" s="91"/>
      <c r="GK1210" s="91"/>
      <c r="GL1210" s="91"/>
      <c r="GM1210" s="91"/>
      <c r="GN1210" s="91"/>
      <c r="GO1210" s="91"/>
      <c r="GP1210" s="91"/>
      <c r="GQ1210" s="91"/>
      <c r="GR1210" s="91"/>
      <c r="GS1210" s="91"/>
      <c r="GT1210" s="91"/>
      <c r="GU1210" s="91"/>
      <c r="GV1210" s="91"/>
      <c r="GW1210" s="91"/>
      <c r="GX1210" s="91"/>
      <c r="GY1210" s="91"/>
      <c r="GZ1210" s="91"/>
      <c r="HA1210" s="91"/>
      <c r="HB1210" s="91"/>
      <c r="HC1210" s="91"/>
      <c r="HD1210" s="91"/>
      <c r="HE1210" s="91"/>
      <c r="HF1210" s="91"/>
      <c r="HG1210" s="91"/>
      <c r="HH1210" s="91"/>
      <c r="HI1210" s="91"/>
      <c r="HJ1210" s="91"/>
      <c r="HK1210" s="91"/>
      <c r="HL1210" s="91"/>
      <c r="HM1210" s="91"/>
      <c r="HN1210" s="91"/>
      <c r="HO1210" s="91"/>
      <c r="HP1210" s="91"/>
      <c r="HQ1210" s="91"/>
      <c r="HR1210" s="91"/>
      <c r="HS1210" s="91"/>
      <c r="HT1210" s="91"/>
      <c r="HU1210" s="91"/>
      <c r="HV1210" s="91"/>
      <c r="HW1210" s="91"/>
      <c r="HX1210" s="91"/>
      <c r="HY1210" s="91"/>
      <c r="HZ1210" s="91"/>
      <c r="IA1210" s="91"/>
      <c r="IB1210" s="91"/>
      <c r="IC1210" s="91"/>
      <c r="ID1210" s="91"/>
      <c r="IE1210" s="91"/>
    </row>
    <row r="1211" spans="2:239" ht="15" x14ac:dyDescent="0.2">
      <c r="B1211" s="91"/>
      <c r="C1211" s="91"/>
      <c r="D1211" s="91"/>
      <c r="E1211" s="227"/>
      <c r="F1211" s="91"/>
      <c r="G1211" s="91"/>
      <c r="H1211" s="91"/>
      <c r="I1211" s="91"/>
      <c r="J1211" s="91"/>
      <c r="K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c r="FB1211" s="91"/>
      <c r="FC1211" s="91"/>
      <c r="FD1211" s="91"/>
      <c r="FE1211" s="91"/>
      <c r="FF1211" s="91"/>
      <c r="FG1211" s="91"/>
      <c r="FH1211" s="91"/>
      <c r="FI1211" s="91"/>
      <c r="FJ1211" s="91"/>
      <c r="FK1211" s="91"/>
      <c r="FL1211" s="91"/>
      <c r="FM1211" s="91"/>
      <c r="FN1211" s="91"/>
      <c r="FO1211" s="91"/>
      <c r="FP1211" s="91"/>
      <c r="FQ1211" s="91"/>
      <c r="FR1211" s="91"/>
      <c r="FS1211" s="91"/>
      <c r="FT1211" s="91"/>
      <c r="FU1211" s="91"/>
      <c r="FV1211" s="91"/>
      <c r="FW1211" s="91"/>
      <c r="FX1211" s="91"/>
      <c r="FY1211" s="91"/>
      <c r="FZ1211" s="91"/>
      <c r="GA1211" s="91"/>
      <c r="GB1211" s="91"/>
      <c r="GC1211" s="91"/>
      <c r="GD1211" s="91"/>
      <c r="GE1211" s="91"/>
      <c r="GF1211" s="91"/>
      <c r="GG1211" s="91"/>
      <c r="GH1211" s="91"/>
      <c r="GI1211" s="91"/>
      <c r="GJ1211" s="91"/>
      <c r="GK1211" s="91"/>
      <c r="GL1211" s="91"/>
      <c r="GM1211" s="91"/>
      <c r="GN1211" s="91"/>
      <c r="GO1211" s="91"/>
      <c r="GP1211" s="91"/>
      <c r="GQ1211" s="91"/>
      <c r="GR1211" s="91"/>
      <c r="GS1211" s="91"/>
      <c r="GT1211" s="91"/>
      <c r="GU1211" s="91"/>
      <c r="GV1211" s="91"/>
      <c r="GW1211" s="91"/>
      <c r="GX1211" s="91"/>
      <c r="GY1211" s="91"/>
      <c r="GZ1211" s="91"/>
      <c r="HA1211" s="91"/>
      <c r="HB1211" s="91"/>
      <c r="HC1211" s="91"/>
      <c r="HD1211" s="91"/>
      <c r="HE1211" s="91"/>
      <c r="HF1211" s="91"/>
      <c r="HG1211" s="91"/>
      <c r="HH1211" s="91"/>
      <c r="HI1211" s="91"/>
      <c r="HJ1211" s="91"/>
      <c r="HK1211" s="91"/>
      <c r="HL1211" s="91"/>
      <c r="HM1211" s="91"/>
      <c r="HN1211" s="91"/>
      <c r="HO1211" s="91"/>
      <c r="HP1211" s="91"/>
      <c r="HQ1211" s="91"/>
      <c r="HR1211" s="91"/>
      <c r="HS1211" s="91"/>
      <c r="HT1211" s="91"/>
      <c r="HU1211" s="91"/>
      <c r="HV1211" s="91"/>
      <c r="HW1211" s="91"/>
      <c r="HX1211" s="91"/>
      <c r="HY1211" s="91"/>
      <c r="HZ1211" s="91"/>
      <c r="IA1211" s="91"/>
      <c r="IB1211" s="91"/>
      <c r="IC1211" s="91"/>
      <c r="ID1211" s="91"/>
      <c r="IE1211" s="91"/>
    </row>
    <row r="1212" spans="2:239" ht="15" x14ac:dyDescent="0.2">
      <c r="B1212" s="91"/>
      <c r="C1212" s="91"/>
      <c r="D1212" s="91"/>
      <c r="E1212" s="227"/>
      <c r="F1212" s="91"/>
      <c r="G1212" s="91"/>
      <c r="H1212" s="91"/>
      <c r="I1212" s="91"/>
      <c r="J1212" s="91"/>
      <c r="K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row>
    <row r="1213" spans="2:239" ht="15" x14ac:dyDescent="0.2">
      <c r="B1213" s="91"/>
      <c r="C1213" s="91"/>
      <c r="D1213" s="91"/>
      <c r="E1213" s="227"/>
      <c r="F1213" s="91"/>
      <c r="G1213" s="91"/>
      <c r="H1213" s="91"/>
      <c r="I1213" s="91"/>
      <c r="J1213" s="91"/>
      <c r="K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c r="FB1213" s="91"/>
      <c r="FC1213" s="91"/>
      <c r="FD1213" s="91"/>
      <c r="FE1213" s="91"/>
      <c r="FF1213" s="91"/>
      <c r="FG1213" s="91"/>
      <c r="FH1213" s="91"/>
      <c r="FI1213" s="91"/>
      <c r="FJ1213" s="91"/>
      <c r="FK1213" s="91"/>
      <c r="FL1213" s="91"/>
      <c r="FM1213" s="91"/>
      <c r="FN1213" s="91"/>
      <c r="FO1213" s="91"/>
      <c r="FP1213" s="91"/>
      <c r="FQ1213" s="91"/>
      <c r="FR1213" s="91"/>
      <c r="FS1213" s="91"/>
      <c r="FT1213" s="91"/>
      <c r="FU1213" s="91"/>
      <c r="FV1213" s="91"/>
      <c r="FW1213" s="91"/>
      <c r="FX1213" s="91"/>
      <c r="FY1213" s="91"/>
      <c r="FZ1213" s="91"/>
      <c r="GA1213" s="91"/>
      <c r="GB1213" s="91"/>
      <c r="GC1213" s="91"/>
      <c r="GD1213" s="91"/>
      <c r="GE1213" s="91"/>
      <c r="GF1213" s="91"/>
      <c r="GG1213" s="91"/>
      <c r="GH1213" s="91"/>
      <c r="GI1213" s="91"/>
      <c r="GJ1213" s="91"/>
      <c r="GK1213" s="91"/>
      <c r="GL1213" s="91"/>
      <c r="GM1213" s="91"/>
      <c r="GN1213" s="91"/>
      <c r="GO1213" s="91"/>
      <c r="GP1213" s="91"/>
      <c r="GQ1213" s="91"/>
      <c r="GR1213" s="91"/>
      <c r="GS1213" s="91"/>
      <c r="GT1213" s="91"/>
      <c r="GU1213" s="91"/>
      <c r="GV1213" s="91"/>
      <c r="GW1213" s="91"/>
      <c r="GX1213" s="91"/>
      <c r="GY1213" s="91"/>
      <c r="GZ1213" s="91"/>
      <c r="HA1213" s="91"/>
      <c r="HB1213" s="91"/>
      <c r="HC1213" s="91"/>
      <c r="HD1213" s="91"/>
      <c r="HE1213" s="91"/>
      <c r="HF1213" s="91"/>
      <c r="HG1213" s="91"/>
      <c r="HH1213" s="91"/>
      <c r="HI1213" s="91"/>
      <c r="HJ1213" s="91"/>
      <c r="HK1213" s="91"/>
      <c r="HL1213" s="91"/>
      <c r="HM1213" s="91"/>
      <c r="HN1213" s="91"/>
      <c r="HO1213" s="91"/>
      <c r="HP1213" s="91"/>
      <c r="HQ1213" s="91"/>
      <c r="HR1213" s="91"/>
      <c r="HS1213" s="91"/>
      <c r="HT1213" s="91"/>
      <c r="HU1213" s="91"/>
      <c r="HV1213" s="91"/>
      <c r="HW1213" s="91"/>
      <c r="HX1213" s="91"/>
      <c r="HY1213" s="91"/>
      <c r="HZ1213" s="91"/>
      <c r="IA1213" s="91"/>
      <c r="IB1213" s="91"/>
      <c r="IC1213" s="91"/>
      <c r="ID1213" s="91"/>
      <c r="IE1213" s="91"/>
    </row>
    <row r="1214" spans="2:239" ht="15" x14ac:dyDescent="0.2">
      <c r="B1214" s="91"/>
      <c r="C1214" s="91"/>
      <c r="D1214" s="91"/>
      <c r="E1214" s="227"/>
      <c r="F1214" s="91"/>
      <c r="G1214" s="91"/>
      <c r="H1214" s="91"/>
      <c r="I1214" s="91"/>
      <c r="J1214" s="91"/>
      <c r="K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1"/>
      <c r="FL1214" s="91"/>
      <c r="FM1214" s="91"/>
      <c r="FN1214" s="91"/>
      <c r="FO1214" s="91"/>
      <c r="FP1214" s="91"/>
      <c r="FQ1214" s="91"/>
      <c r="FR1214" s="91"/>
      <c r="FS1214" s="91"/>
      <c r="FT1214" s="91"/>
      <c r="FU1214" s="91"/>
      <c r="FV1214" s="91"/>
      <c r="FW1214" s="91"/>
      <c r="FX1214" s="91"/>
      <c r="FY1214" s="91"/>
      <c r="FZ1214" s="91"/>
      <c r="GA1214" s="91"/>
      <c r="GB1214" s="91"/>
      <c r="GC1214" s="91"/>
      <c r="GD1214" s="91"/>
      <c r="GE1214" s="91"/>
      <c r="GF1214" s="91"/>
      <c r="GG1214" s="91"/>
      <c r="GH1214" s="91"/>
      <c r="GI1214" s="91"/>
      <c r="GJ1214" s="91"/>
      <c r="GK1214" s="91"/>
      <c r="GL1214" s="91"/>
      <c r="GM1214" s="91"/>
      <c r="GN1214" s="91"/>
      <c r="GO1214" s="91"/>
      <c r="GP1214" s="91"/>
      <c r="GQ1214" s="91"/>
      <c r="GR1214" s="91"/>
      <c r="GS1214" s="91"/>
      <c r="GT1214" s="91"/>
      <c r="GU1214" s="91"/>
      <c r="GV1214" s="91"/>
      <c r="GW1214" s="91"/>
      <c r="GX1214" s="91"/>
      <c r="GY1214" s="91"/>
      <c r="GZ1214" s="91"/>
      <c r="HA1214" s="91"/>
      <c r="HB1214" s="91"/>
      <c r="HC1214" s="91"/>
      <c r="HD1214" s="91"/>
      <c r="HE1214" s="91"/>
      <c r="HF1214" s="91"/>
      <c r="HG1214" s="91"/>
      <c r="HH1214" s="91"/>
      <c r="HI1214" s="91"/>
      <c r="HJ1214" s="91"/>
      <c r="HK1214" s="91"/>
      <c r="HL1214" s="91"/>
      <c r="HM1214" s="91"/>
      <c r="HN1214" s="91"/>
      <c r="HO1214" s="91"/>
      <c r="HP1214" s="91"/>
      <c r="HQ1214" s="91"/>
      <c r="HR1214" s="91"/>
      <c r="HS1214" s="91"/>
      <c r="HT1214" s="91"/>
      <c r="HU1214" s="91"/>
      <c r="HV1214" s="91"/>
      <c r="HW1214" s="91"/>
      <c r="HX1214" s="91"/>
      <c r="HY1214" s="91"/>
      <c r="HZ1214" s="91"/>
      <c r="IA1214" s="91"/>
      <c r="IB1214" s="91"/>
      <c r="IC1214" s="91"/>
      <c r="ID1214" s="91"/>
      <c r="IE1214" s="91"/>
    </row>
    <row r="1215" spans="2:239" ht="15" x14ac:dyDescent="0.2">
      <c r="B1215" s="91"/>
      <c r="C1215" s="91"/>
      <c r="D1215" s="91"/>
      <c r="E1215" s="227"/>
      <c r="F1215" s="91"/>
      <c r="G1215" s="91"/>
      <c r="H1215" s="91"/>
      <c r="I1215" s="91"/>
      <c r="J1215" s="91"/>
      <c r="K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1"/>
      <c r="FE1215" s="91"/>
      <c r="FF1215" s="91"/>
      <c r="FG1215" s="91"/>
      <c r="FH1215" s="91"/>
      <c r="FI1215" s="91"/>
      <c r="FJ1215" s="91"/>
      <c r="FK1215" s="91"/>
      <c r="FL1215" s="91"/>
      <c r="FM1215" s="91"/>
      <c r="FN1215" s="91"/>
      <c r="FO1215" s="91"/>
      <c r="FP1215" s="91"/>
      <c r="FQ1215" s="91"/>
      <c r="FR1215" s="91"/>
      <c r="FS1215" s="91"/>
      <c r="FT1215" s="91"/>
      <c r="FU1215" s="91"/>
      <c r="FV1215" s="91"/>
      <c r="FW1215" s="91"/>
      <c r="FX1215" s="91"/>
      <c r="FY1215" s="91"/>
      <c r="FZ1215" s="91"/>
      <c r="GA1215" s="91"/>
      <c r="GB1215" s="91"/>
      <c r="GC1215" s="91"/>
      <c r="GD1215" s="91"/>
      <c r="GE1215" s="91"/>
      <c r="GF1215" s="91"/>
      <c r="GG1215" s="91"/>
      <c r="GH1215" s="91"/>
      <c r="GI1215" s="91"/>
      <c r="GJ1215" s="91"/>
      <c r="GK1215" s="91"/>
      <c r="GL1215" s="91"/>
      <c r="GM1215" s="91"/>
      <c r="GN1215" s="91"/>
      <c r="GO1215" s="91"/>
      <c r="GP1215" s="91"/>
      <c r="GQ1215" s="91"/>
      <c r="GR1215" s="91"/>
      <c r="GS1215" s="91"/>
      <c r="GT1215" s="91"/>
      <c r="GU1215" s="91"/>
      <c r="GV1215" s="91"/>
      <c r="GW1215" s="91"/>
      <c r="GX1215" s="91"/>
      <c r="GY1215" s="91"/>
      <c r="GZ1215" s="91"/>
      <c r="HA1215" s="91"/>
      <c r="HB1215" s="91"/>
      <c r="HC1215" s="91"/>
      <c r="HD1215" s="91"/>
      <c r="HE1215" s="91"/>
      <c r="HF1215" s="91"/>
      <c r="HG1215" s="91"/>
      <c r="HH1215" s="91"/>
      <c r="HI1215" s="91"/>
      <c r="HJ1215" s="91"/>
      <c r="HK1215" s="91"/>
      <c r="HL1215" s="91"/>
      <c r="HM1215" s="91"/>
      <c r="HN1215" s="91"/>
      <c r="HO1215" s="91"/>
      <c r="HP1215" s="91"/>
      <c r="HQ1215" s="91"/>
      <c r="HR1215" s="91"/>
      <c r="HS1215" s="91"/>
      <c r="HT1215" s="91"/>
      <c r="HU1215" s="91"/>
      <c r="HV1215" s="91"/>
      <c r="HW1215" s="91"/>
      <c r="HX1215" s="91"/>
      <c r="HY1215" s="91"/>
      <c r="HZ1215" s="91"/>
      <c r="IA1215" s="91"/>
      <c r="IB1215" s="91"/>
      <c r="IC1215" s="91"/>
      <c r="ID1215" s="91"/>
      <c r="IE1215" s="91"/>
    </row>
    <row r="1216" spans="2:239" ht="15" x14ac:dyDescent="0.2">
      <c r="B1216" s="91"/>
      <c r="C1216" s="91"/>
      <c r="D1216" s="91"/>
      <c r="E1216" s="227"/>
      <c r="F1216" s="91"/>
      <c r="G1216" s="91"/>
      <c r="H1216" s="91"/>
      <c r="I1216" s="91"/>
      <c r="J1216" s="91"/>
      <c r="K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row>
    <row r="1217" spans="2:239" ht="15" x14ac:dyDescent="0.2">
      <c r="B1217" s="91"/>
      <c r="C1217" s="91"/>
      <c r="D1217" s="91"/>
      <c r="E1217" s="227"/>
      <c r="F1217" s="91"/>
      <c r="G1217" s="91"/>
      <c r="H1217" s="91"/>
      <c r="I1217" s="91"/>
      <c r="J1217" s="91"/>
      <c r="K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row>
    <row r="1218" spans="2:239" ht="15" x14ac:dyDescent="0.2">
      <c r="B1218" s="91"/>
      <c r="C1218" s="91"/>
      <c r="D1218" s="91"/>
      <c r="E1218" s="227"/>
      <c r="F1218" s="91"/>
      <c r="G1218" s="91"/>
      <c r="H1218" s="91"/>
      <c r="I1218" s="91"/>
      <c r="J1218" s="91"/>
      <c r="K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c r="FB1218" s="91"/>
      <c r="FC1218" s="91"/>
      <c r="FD1218" s="91"/>
      <c r="FE1218" s="91"/>
      <c r="FF1218" s="91"/>
      <c r="FG1218" s="91"/>
      <c r="FH1218" s="91"/>
      <c r="FI1218" s="91"/>
      <c r="FJ1218" s="91"/>
      <c r="FK1218" s="91"/>
      <c r="FL1218" s="91"/>
      <c r="FM1218" s="91"/>
      <c r="FN1218" s="91"/>
      <c r="FO1218" s="91"/>
      <c r="FP1218" s="91"/>
      <c r="FQ1218" s="91"/>
      <c r="FR1218" s="91"/>
      <c r="FS1218" s="91"/>
      <c r="FT1218" s="91"/>
      <c r="FU1218" s="91"/>
      <c r="FV1218" s="91"/>
      <c r="FW1218" s="91"/>
      <c r="FX1218" s="91"/>
      <c r="FY1218" s="91"/>
      <c r="FZ1218" s="91"/>
      <c r="GA1218" s="91"/>
      <c r="GB1218" s="91"/>
      <c r="GC1218" s="91"/>
      <c r="GD1218" s="91"/>
      <c r="GE1218" s="91"/>
      <c r="GF1218" s="91"/>
      <c r="GG1218" s="91"/>
      <c r="GH1218" s="91"/>
      <c r="GI1218" s="91"/>
      <c r="GJ1218" s="91"/>
      <c r="GK1218" s="91"/>
      <c r="GL1218" s="91"/>
      <c r="GM1218" s="91"/>
      <c r="GN1218" s="91"/>
      <c r="GO1218" s="91"/>
      <c r="GP1218" s="91"/>
      <c r="GQ1218" s="91"/>
      <c r="GR1218" s="91"/>
      <c r="GS1218" s="91"/>
      <c r="GT1218" s="91"/>
      <c r="GU1218" s="91"/>
      <c r="GV1218" s="91"/>
      <c r="GW1218" s="91"/>
      <c r="GX1218" s="91"/>
      <c r="GY1218" s="91"/>
      <c r="GZ1218" s="91"/>
      <c r="HA1218" s="91"/>
      <c r="HB1218" s="91"/>
      <c r="HC1218" s="91"/>
      <c r="HD1218" s="91"/>
      <c r="HE1218" s="91"/>
      <c r="HF1218" s="91"/>
      <c r="HG1218" s="91"/>
      <c r="HH1218" s="91"/>
      <c r="HI1218" s="91"/>
      <c r="HJ1218" s="91"/>
      <c r="HK1218" s="91"/>
      <c r="HL1218" s="91"/>
      <c r="HM1218" s="91"/>
      <c r="HN1218" s="91"/>
      <c r="HO1218" s="91"/>
      <c r="HP1218" s="91"/>
      <c r="HQ1218" s="91"/>
      <c r="HR1218" s="91"/>
      <c r="HS1218" s="91"/>
      <c r="HT1218" s="91"/>
      <c r="HU1218" s="91"/>
      <c r="HV1218" s="91"/>
      <c r="HW1218" s="91"/>
      <c r="HX1218" s="91"/>
      <c r="HY1218" s="91"/>
      <c r="HZ1218" s="91"/>
      <c r="IA1218" s="91"/>
      <c r="IB1218" s="91"/>
      <c r="IC1218" s="91"/>
      <c r="ID1218" s="91"/>
      <c r="IE1218" s="91"/>
    </row>
    <row r="1219" spans="2:239" ht="15" x14ac:dyDescent="0.2">
      <c r="B1219" s="91"/>
      <c r="C1219" s="91"/>
      <c r="D1219" s="91"/>
      <c r="E1219" s="227"/>
      <c r="F1219" s="91"/>
      <c r="G1219" s="91"/>
      <c r="H1219" s="91"/>
      <c r="I1219" s="91"/>
      <c r="J1219" s="91"/>
      <c r="K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c r="FB1219" s="91"/>
      <c r="FC1219" s="91"/>
      <c r="FD1219" s="91"/>
      <c r="FE1219" s="91"/>
      <c r="FF1219" s="91"/>
      <c r="FG1219" s="91"/>
      <c r="FH1219" s="91"/>
      <c r="FI1219" s="91"/>
      <c r="FJ1219" s="91"/>
      <c r="FK1219" s="91"/>
      <c r="FL1219" s="91"/>
      <c r="FM1219" s="91"/>
      <c r="FN1219" s="91"/>
      <c r="FO1219" s="91"/>
      <c r="FP1219" s="91"/>
      <c r="FQ1219" s="91"/>
      <c r="FR1219" s="91"/>
      <c r="FS1219" s="91"/>
      <c r="FT1219" s="91"/>
      <c r="FU1219" s="91"/>
      <c r="FV1219" s="91"/>
      <c r="FW1219" s="91"/>
      <c r="FX1219" s="91"/>
      <c r="FY1219" s="91"/>
      <c r="FZ1219" s="91"/>
      <c r="GA1219" s="91"/>
      <c r="GB1219" s="91"/>
      <c r="GC1219" s="91"/>
      <c r="GD1219" s="91"/>
      <c r="GE1219" s="91"/>
      <c r="GF1219" s="91"/>
      <c r="GG1219" s="91"/>
      <c r="GH1219" s="91"/>
      <c r="GI1219" s="91"/>
      <c r="GJ1219" s="91"/>
      <c r="GK1219" s="91"/>
      <c r="GL1219" s="91"/>
      <c r="GM1219" s="91"/>
      <c r="GN1219" s="91"/>
      <c r="GO1219" s="91"/>
      <c r="GP1219" s="91"/>
      <c r="GQ1219" s="91"/>
      <c r="GR1219" s="91"/>
      <c r="GS1219" s="91"/>
      <c r="GT1219" s="91"/>
      <c r="GU1219" s="91"/>
      <c r="GV1219" s="91"/>
      <c r="GW1219" s="91"/>
      <c r="GX1219" s="91"/>
      <c r="GY1219" s="91"/>
      <c r="GZ1219" s="91"/>
      <c r="HA1219" s="91"/>
      <c r="HB1219" s="91"/>
      <c r="HC1219" s="91"/>
      <c r="HD1219" s="91"/>
      <c r="HE1219" s="91"/>
      <c r="HF1219" s="91"/>
      <c r="HG1219" s="91"/>
      <c r="HH1219" s="91"/>
      <c r="HI1219" s="91"/>
      <c r="HJ1219" s="91"/>
      <c r="HK1219" s="91"/>
      <c r="HL1219" s="91"/>
      <c r="HM1219" s="91"/>
      <c r="HN1219" s="91"/>
      <c r="HO1219" s="91"/>
      <c r="HP1219" s="91"/>
      <c r="HQ1219" s="91"/>
      <c r="HR1219" s="91"/>
      <c r="HS1219" s="91"/>
      <c r="HT1219" s="91"/>
      <c r="HU1219" s="91"/>
      <c r="HV1219" s="91"/>
      <c r="HW1219" s="91"/>
      <c r="HX1219" s="91"/>
      <c r="HY1219" s="91"/>
      <c r="HZ1219" s="91"/>
      <c r="IA1219" s="91"/>
      <c r="IB1219" s="91"/>
      <c r="IC1219" s="91"/>
      <c r="ID1219" s="91"/>
      <c r="IE1219" s="91"/>
    </row>
    <row r="1220" spans="2:239" ht="15" x14ac:dyDescent="0.2">
      <c r="B1220" s="91"/>
      <c r="C1220" s="91"/>
      <c r="D1220" s="91"/>
      <c r="E1220" s="227"/>
      <c r="F1220" s="91"/>
      <c r="G1220" s="91"/>
      <c r="H1220" s="91"/>
      <c r="I1220" s="91"/>
      <c r="J1220" s="91"/>
      <c r="K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row>
    <row r="1221" spans="2:239" ht="15" x14ac:dyDescent="0.2">
      <c r="B1221" s="91"/>
      <c r="C1221" s="91"/>
      <c r="D1221" s="91"/>
      <c r="E1221" s="227"/>
      <c r="F1221" s="91"/>
      <c r="G1221" s="91"/>
      <c r="H1221" s="91"/>
      <c r="I1221" s="91"/>
      <c r="J1221" s="91"/>
      <c r="K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c r="FB1221" s="91"/>
      <c r="FC1221" s="91"/>
      <c r="FD1221" s="91"/>
      <c r="FE1221" s="91"/>
      <c r="FF1221" s="91"/>
      <c r="FG1221" s="91"/>
      <c r="FH1221" s="91"/>
      <c r="FI1221" s="91"/>
      <c r="FJ1221" s="91"/>
      <c r="FK1221" s="91"/>
      <c r="FL1221" s="91"/>
      <c r="FM1221" s="91"/>
      <c r="FN1221" s="91"/>
      <c r="FO1221" s="91"/>
      <c r="FP1221" s="91"/>
      <c r="FQ1221" s="91"/>
      <c r="FR1221" s="91"/>
      <c r="FS1221" s="91"/>
      <c r="FT1221" s="91"/>
      <c r="FU1221" s="91"/>
      <c r="FV1221" s="91"/>
      <c r="FW1221" s="91"/>
      <c r="FX1221" s="91"/>
      <c r="FY1221" s="91"/>
      <c r="FZ1221" s="91"/>
      <c r="GA1221" s="91"/>
      <c r="GB1221" s="91"/>
      <c r="GC1221" s="91"/>
      <c r="GD1221" s="91"/>
      <c r="GE1221" s="91"/>
      <c r="GF1221" s="91"/>
      <c r="GG1221" s="91"/>
      <c r="GH1221" s="91"/>
      <c r="GI1221" s="91"/>
      <c r="GJ1221" s="91"/>
      <c r="GK1221" s="91"/>
      <c r="GL1221" s="91"/>
      <c r="GM1221" s="91"/>
      <c r="GN1221" s="91"/>
      <c r="GO1221" s="91"/>
      <c r="GP1221" s="91"/>
      <c r="GQ1221" s="91"/>
      <c r="GR1221" s="91"/>
      <c r="GS1221" s="91"/>
      <c r="GT1221" s="91"/>
      <c r="GU1221" s="91"/>
      <c r="GV1221" s="91"/>
      <c r="GW1221" s="91"/>
      <c r="GX1221" s="91"/>
      <c r="GY1221" s="91"/>
      <c r="GZ1221" s="91"/>
      <c r="HA1221" s="91"/>
      <c r="HB1221" s="91"/>
      <c r="HC1221" s="91"/>
      <c r="HD1221" s="91"/>
      <c r="HE1221" s="91"/>
      <c r="HF1221" s="91"/>
      <c r="HG1221" s="91"/>
      <c r="HH1221" s="91"/>
      <c r="HI1221" s="91"/>
      <c r="HJ1221" s="91"/>
      <c r="HK1221" s="91"/>
      <c r="HL1221" s="91"/>
      <c r="HM1221" s="91"/>
      <c r="HN1221" s="91"/>
      <c r="HO1221" s="91"/>
      <c r="HP1221" s="91"/>
      <c r="HQ1221" s="91"/>
      <c r="HR1221" s="91"/>
      <c r="HS1221" s="91"/>
      <c r="HT1221" s="91"/>
      <c r="HU1221" s="91"/>
      <c r="HV1221" s="91"/>
      <c r="HW1221" s="91"/>
      <c r="HX1221" s="91"/>
      <c r="HY1221" s="91"/>
      <c r="HZ1221" s="91"/>
      <c r="IA1221" s="91"/>
      <c r="IB1221" s="91"/>
      <c r="IC1221" s="91"/>
      <c r="ID1221" s="91"/>
      <c r="IE1221" s="91"/>
    </row>
    <row r="1222" spans="2:239" ht="15" x14ac:dyDescent="0.2">
      <c r="B1222" s="91"/>
      <c r="C1222" s="91"/>
      <c r="D1222" s="91"/>
      <c r="E1222" s="227"/>
      <c r="F1222" s="91"/>
      <c r="G1222" s="91"/>
      <c r="H1222" s="91"/>
      <c r="I1222" s="91"/>
      <c r="J1222" s="91"/>
      <c r="K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row>
    <row r="1223" spans="2:239" ht="15" x14ac:dyDescent="0.2">
      <c r="B1223" s="91"/>
      <c r="C1223" s="91"/>
      <c r="D1223" s="91"/>
      <c r="E1223" s="227"/>
      <c r="F1223" s="91"/>
      <c r="G1223" s="91"/>
      <c r="H1223" s="91"/>
      <c r="I1223" s="91"/>
      <c r="J1223" s="91"/>
      <c r="K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c r="FB1223" s="91"/>
      <c r="FC1223" s="91"/>
      <c r="FD1223" s="91"/>
      <c r="FE1223" s="91"/>
      <c r="FF1223" s="91"/>
      <c r="FG1223" s="91"/>
      <c r="FH1223" s="91"/>
      <c r="FI1223" s="91"/>
      <c r="FJ1223" s="91"/>
      <c r="FK1223" s="91"/>
      <c r="FL1223" s="91"/>
      <c r="FM1223" s="91"/>
      <c r="FN1223" s="91"/>
      <c r="FO1223" s="91"/>
      <c r="FP1223" s="91"/>
      <c r="FQ1223" s="91"/>
      <c r="FR1223" s="91"/>
      <c r="FS1223" s="91"/>
      <c r="FT1223" s="91"/>
      <c r="FU1223" s="91"/>
      <c r="FV1223" s="91"/>
      <c r="FW1223" s="91"/>
      <c r="FX1223" s="91"/>
      <c r="FY1223" s="91"/>
      <c r="FZ1223" s="91"/>
      <c r="GA1223" s="91"/>
      <c r="GB1223" s="91"/>
      <c r="GC1223" s="91"/>
      <c r="GD1223" s="91"/>
      <c r="GE1223" s="91"/>
      <c r="GF1223" s="91"/>
      <c r="GG1223" s="91"/>
      <c r="GH1223" s="91"/>
      <c r="GI1223" s="91"/>
      <c r="GJ1223" s="91"/>
      <c r="GK1223" s="91"/>
      <c r="GL1223" s="91"/>
      <c r="GM1223" s="91"/>
      <c r="GN1223" s="91"/>
      <c r="GO1223" s="91"/>
      <c r="GP1223" s="91"/>
      <c r="GQ1223" s="91"/>
      <c r="GR1223" s="91"/>
      <c r="GS1223" s="91"/>
      <c r="GT1223" s="91"/>
      <c r="GU1223" s="91"/>
      <c r="GV1223" s="91"/>
      <c r="GW1223" s="91"/>
      <c r="GX1223" s="91"/>
      <c r="GY1223" s="91"/>
      <c r="GZ1223" s="91"/>
      <c r="HA1223" s="91"/>
      <c r="HB1223" s="91"/>
      <c r="HC1223" s="91"/>
      <c r="HD1223" s="91"/>
      <c r="HE1223" s="91"/>
      <c r="HF1223" s="91"/>
      <c r="HG1223" s="91"/>
      <c r="HH1223" s="91"/>
      <c r="HI1223" s="91"/>
      <c r="HJ1223" s="91"/>
      <c r="HK1223" s="91"/>
      <c r="HL1223" s="91"/>
      <c r="HM1223" s="91"/>
      <c r="HN1223" s="91"/>
      <c r="HO1223" s="91"/>
      <c r="HP1223" s="91"/>
      <c r="HQ1223" s="91"/>
      <c r="HR1223" s="91"/>
      <c r="HS1223" s="91"/>
      <c r="HT1223" s="91"/>
      <c r="HU1223" s="91"/>
      <c r="HV1223" s="91"/>
      <c r="HW1223" s="91"/>
      <c r="HX1223" s="91"/>
      <c r="HY1223" s="91"/>
      <c r="HZ1223" s="91"/>
      <c r="IA1223" s="91"/>
      <c r="IB1223" s="91"/>
      <c r="IC1223" s="91"/>
      <c r="ID1223" s="91"/>
      <c r="IE1223" s="91"/>
    </row>
    <row r="1224" spans="2:239" ht="15" x14ac:dyDescent="0.2">
      <c r="B1224" s="91"/>
      <c r="C1224" s="91"/>
      <c r="D1224" s="91"/>
      <c r="E1224" s="227"/>
      <c r="F1224" s="91"/>
      <c r="G1224" s="91"/>
      <c r="H1224" s="91"/>
      <c r="I1224" s="91"/>
      <c r="J1224" s="91"/>
      <c r="K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c r="FB1224" s="91"/>
      <c r="FC1224" s="91"/>
      <c r="FD1224" s="91"/>
      <c r="FE1224" s="91"/>
      <c r="FF1224" s="91"/>
      <c r="FG1224" s="91"/>
      <c r="FH1224" s="91"/>
      <c r="FI1224" s="91"/>
      <c r="FJ1224" s="91"/>
      <c r="FK1224" s="91"/>
      <c r="FL1224" s="91"/>
      <c r="FM1224" s="91"/>
      <c r="FN1224" s="91"/>
      <c r="FO1224" s="91"/>
      <c r="FP1224" s="91"/>
      <c r="FQ1224" s="91"/>
      <c r="FR1224" s="91"/>
      <c r="FS1224" s="91"/>
      <c r="FT1224" s="91"/>
      <c r="FU1224" s="91"/>
      <c r="FV1224" s="91"/>
      <c r="FW1224" s="91"/>
      <c r="FX1224" s="91"/>
      <c r="FY1224" s="91"/>
      <c r="FZ1224" s="91"/>
      <c r="GA1224" s="91"/>
      <c r="GB1224" s="91"/>
      <c r="GC1224" s="91"/>
      <c r="GD1224" s="91"/>
      <c r="GE1224" s="91"/>
      <c r="GF1224" s="91"/>
      <c r="GG1224" s="91"/>
      <c r="GH1224" s="91"/>
      <c r="GI1224" s="91"/>
      <c r="GJ1224" s="91"/>
      <c r="GK1224" s="91"/>
      <c r="GL1224" s="91"/>
      <c r="GM1224" s="91"/>
      <c r="GN1224" s="91"/>
      <c r="GO1224" s="91"/>
      <c r="GP1224" s="91"/>
      <c r="GQ1224" s="91"/>
      <c r="GR1224" s="91"/>
      <c r="GS1224" s="91"/>
      <c r="GT1224" s="91"/>
      <c r="GU1224" s="91"/>
      <c r="GV1224" s="91"/>
      <c r="GW1224" s="91"/>
      <c r="GX1224" s="91"/>
      <c r="GY1224" s="91"/>
      <c r="GZ1224" s="91"/>
      <c r="HA1224" s="91"/>
      <c r="HB1224" s="91"/>
      <c r="HC1224" s="91"/>
      <c r="HD1224" s="91"/>
      <c r="HE1224" s="91"/>
      <c r="HF1224" s="91"/>
      <c r="HG1224" s="91"/>
      <c r="HH1224" s="91"/>
      <c r="HI1224" s="91"/>
      <c r="HJ1224" s="91"/>
      <c r="HK1224" s="91"/>
      <c r="HL1224" s="91"/>
      <c r="HM1224" s="91"/>
      <c r="HN1224" s="91"/>
      <c r="HO1224" s="91"/>
      <c r="HP1224" s="91"/>
      <c r="HQ1224" s="91"/>
      <c r="HR1224" s="91"/>
      <c r="HS1224" s="91"/>
      <c r="HT1224" s="91"/>
      <c r="HU1224" s="91"/>
      <c r="HV1224" s="91"/>
      <c r="HW1224" s="91"/>
      <c r="HX1224" s="91"/>
      <c r="HY1224" s="91"/>
      <c r="HZ1224" s="91"/>
      <c r="IA1224" s="91"/>
      <c r="IB1224" s="91"/>
      <c r="IC1224" s="91"/>
      <c r="ID1224" s="91"/>
      <c r="IE1224" s="91"/>
    </row>
    <row r="1225" spans="2:239" ht="15" x14ac:dyDescent="0.2">
      <c r="B1225" s="91"/>
      <c r="C1225" s="91"/>
      <c r="D1225" s="91"/>
      <c r="E1225" s="227"/>
      <c r="F1225" s="91"/>
      <c r="G1225" s="91"/>
      <c r="H1225" s="91"/>
      <c r="I1225" s="91"/>
      <c r="J1225" s="91"/>
      <c r="K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c r="FB1225" s="91"/>
      <c r="FC1225" s="91"/>
      <c r="FD1225" s="91"/>
      <c r="FE1225" s="91"/>
      <c r="FF1225" s="91"/>
      <c r="FG1225" s="91"/>
      <c r="FH1225" s="91"/>
      <c r="FI1225" s="91"/>
      <c r="FJ1225" s="91"/>
      <c r="FK1225" s="91"/>
      <c r="FL1225" s="91"/>
      <c r="FM1225" s="91"/>
      <c r="FN1225" s="91"/>
      <c r="FO1225" s="91"/>
      <c r="FP1225" s="91"/>
      <c r="FQ1225" s="91"/>
      <c r="FR1225" s="91"/>
      <c r="FS1225" s="91"/>
      <c r="FT1225" s="91"/>
      <c r="FU1225" s="91"/>
      <c r="FV1225" s="91"/>
      <c r="FW1225" s="91"/>
      <c r="FX1225" s="91"/>
      <c r="FY1225" s="91"/>
      <c r="FZ1225" s="91"/>
      <c r="GA1225" s="91"/>
      <c r="GB1225" s="91"/>
      <c r="GC1225" s="91"/>
      <c r="GD1225" s="91"/>
      <c r="GE1225" s="91"/>
      <c r="GF1225" s="91"/>
      <c r="GG1225" s="91"/>
      <c r="GH1225" s="91"/>
      <c r="GI1225" s="91"/>
      <c r="GJ1225" s="91"/>
      <c r="GK1225" s="91"/>
      <c r="GL1225" s="91"/>
      <c r="GM1225" s="91"/>
      <c r="GN1225" s="91"/>
      <c r="GO1225" s="91"/>
      <c r="GP1225" s="91"/>
      <c r="GQ1225" s="91"/>
      <c r="GR1225" s="91"/>
      <c r="GS1225" s="91"/>
      <c r="GT1225" s="91"/>
      <c r="GU1225" s="91"/>
      <c r="GV1225" s="91"/>
      <c r="GW1225" s="91"/>
      <c r="GX1225" s="91"/>
      <c r="GY1225" s="91"/>
      <c r="GZ1225" s="91"/>
      <c r="HA1225" s="91"/>
      <c r="HB1225" s="91"/>
      <c r="HC1225" s="91"/>
      <c r="HD1225" s="91"/>
      <c r="HE1225" s="91"/>
      <c r="HF1225" s="91"/>
      <c r="HG1225" s="91"/>
      <c r="HH1225" s="91"/>
      <c r="HI1225" s="91"/>
      <c r="HJ1225" s="91"/>
      <c r="HK1225" s="91"/>
      <c r="HL1225" s="91"/>
      <c r="HM1225" s="91"/>
      <c r="HN1225" s="91"/>
      <c r="HO1225" s="91"/>
      <c r="HP1225" s="91"/>
      <c r="HQ1225" s="91"/>
      <c r="HR1225" s="91"/>
      <c r="HS1225" s="91"/>
      <c r="HT1225" s="91"/>
      <c r="HU1225" s="91"/>
      <c r="HV1225" s="91"/>
      <c r="HW1225" s="91"/>
      <c r="HX1225" s="91"/>
      <c r="HY1225" s="91"/>
      <c r="HZ1225" s="91"/>
      <c r="IA1225" s="91"/>
      <c r="IB1225" s="91"/>
      <c r="IC1225" s="91"/>
      <c r="ID1225" s="91"/>
      <c r="IE1225" s="91"/>
    </row>
    <row r="1226" spans="2:239" ht="15" x14ac:dyDescent="0.2">
      <c r="B1226" s="91"/>
      <c r="C1226" s="91"/>
      <c r="D1226" s="91"/>
      <c r="E1226" s="227"/>
      <c r="F1226" s="91"/>
      <c r="G1226" s="91"/>
      <c r="H1226" s="91"/>
      <c r="I1226" s="91"/>
      <c r="J1226" s="91"/>
      <c r="K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c r="FB1226" s="91"/>
      <c r="FC1226" s="91"/>
      <c r="FD1226" s="91"/>
      <c r="FE1226" s="91"/>
      <c r="FF1226" s="91"/>
      <c r="FG1226" s="91"/>
      <c r="FH1226" s="91"/>
      <c r="FI1226" s="91"/>
      <c r="FJ1226" s="91"/>
      <c r="FK1226" s="91"/>
      <c r="FL1226" s="91"/>
      <c r="FM1226" s="91"/>
      <c r="FN1226" s="91"/>
      <c r="FO1226" s="91"/>
      <c r="FP1226" s="91"/>
      <c r="FQ1226" s="91"/>
      <c r="FR1226" s="91"/>
      <c r="FS1226" s="91"/>
      <c r="FT1226" s="91"/>
      <c r="FU1226" s="91"/>
      <c r="FV1226" s="91"/>
      <c r="FW1226" s="91"/>
      <c r="FX1226" s="91"/>
      <c r="FY1226" s="91"/>
      <c r="FZ1226" s="91"/>
      <c r="GA1226" s="91"/>
      <c r="GB1226" s="91"/>
      <c r="GC1226" s="91"/>
      <c r="GD1226" s="91"/>
      <c r="GE1226" s="91"/>
      <c r="GF1226" s="91"/>
      <c r="GG1226" s="91"/>
      <c r="GH1226" s="91"/>
      <c r="GI1226" s="91"/>
      <c r="GJ1226" s="91"/>
      <c r="GK1226" s="91"/>
      <c r="GL1226" s="91"/>
      <c r="GM1226" s="91"/>
      <c r="GN1226" s="91"/>
      <c r="GO1226" s="91"/>
      <c r="GP1226" s="91"/>
      <c r="GQ1226" s="91"/>
      <c r="GR1226" s="91"/>
      <c r="GS1226" s="91"/>
      <c r="GT1226" s="91"/>
      <c r="GU1226" s="91"/>
      <c r="GV1226" s="91"/>
      <c r="GW1226" s="91"/>
      <c r="GX1226" s="91"/>
      <c r="GY1226" s="91"/>
      <c r="GZ1226" s="91"/>
      <c r="HA1226" s="91"/>
      <c r="HB1226" s="91"/>
      <c r="HC1226" s="91"/>
      <c r="HD1226" s="91"/>
      <c r="HE1226" s="91"/>
      <c r="HF1226" s="91"/>
      <c r="HG1226" s="91"/>
      <c r="HH1226" s="91"/>
      <c r="HI1226" s="91"/>
      <c r="HJ1226" s="91"/>
      <c r="HK1226" s="91"/>
      <c r="HL1226" s="91"/>
      <c r="HM1226" s="91"/>
      <c r="HN1226" s="91"/>
      <c r="HO1226" s="91"/>
      <c r="HP1226" s="91"/>
      <c r="HQ1226" s="91"/>
      <c r="HR1226" s="91"/>
      <c r="HS1226" s="91"/>
      <c r="HT1226" s="91"/>
      <c r="HU1226" s="91"/>
      <c r="HV1226" s="91"/>
      <c r="HW1226" s="91"/>
      <c r="HX1226" s="91"/>
      <c r="HY1226" s="91"/>
      <c r="HZ1226" s="91"/>
      <c r="IA1226" s="91"/>
      <c r="IB1226" s="91"/>
      <c r="IC1226" s="91"/>
      <c r="ID1226" s="91"/>
      <c r="IE1226" s="91"/>
    </row>
    <row r="1227" spans="2:239" ht="15" x14ac:dyDescent="0.2">
      <c r="B1227" s="91"/>
      <c r="C1227" s="91"/>
      <c r="D1227" s="91"/>
      <c r="E1227" s="227"/>
      <c r="F1227" s="91"/>
      <c r="G1227" s="91"/>
      <c r="H1227" s="91"/>
      <c r="I1227" s="91"/>
      <c r="J1227" s="91"/>
      <c r="K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c r="FB1227" s="91"/>
      <c r="FC1227" s="91"/>
      <c r="FD1227" s="91"/>
      <c r="FE1227" s="91"/>
      <c r="FF1227" s="91"/>
      <c r="FG1227" s="91"/>
      <c r="FH1227" s="91"/>
      <c r="FI1227" s="91"/>
      <c r="FJ1227" s="91"/>
      <c r="FK1227" s="91"/>
      <c r="FL1227" s="91"/>
      <c r="FM1227" s="91"/>
      <c r="FN1227" s="91"/>
      <c r="FO1227" s="91"/>
      <c r="FP1227" s="91"/>
      <c r="FQ1227" s="91"/>
      <c r="FR1227" s="91"/>
      <c r="FS1227" s="91"/>
      <c r="FT1227" s="91"/>
      <c r="FU1227" s="91"/>
      <c r="FV1227" s="91"/>
      <c r="FW1227" s="91"/>
      <c r="FX1227" s="91"/>
      <c r="FY1227" s="91"/>
      <c r="FZ1227" s="91"/>
      <c r="GA1227" s="91"/>
      <c r="GB1227" s="91"/>
      <c r="GC1227" s="91"/>
      <c r="GD1227" s="91"/>
      <c r="GE1227" s="91"/>
      <c r="GF1227" s="91"/>
      <c r="GG1227" s="91"/>
      <c r="GH1227" s="91"/>
      <c r="GI1227" s="91"/>
      <c r="GJ1227" s="91"/>
      <c r="GK1227" s="91"/>
      <c r="GL1227" s="91"/>
      <c r="GM1227" s="91"/>
      <c r="GN1227" s="91"/>
      <c r="GO1227" s="91"/>
      <c r="GP1227" s="91"/>
      <c r="GQ1227" s="91"/>
      <c r="GR1227" s="91"/>
      <c r="GS1227" s="91"/>
      <c r="GT1227" s="91"/>
      <c r="GU1227" s="91"/>
      <c r="GV1227" s="91"/>
      <c r="GW1227" s="91"/>
      <c r="GX1227" s="91"/>
      <c r="GY1227" s="91"/>
      <c r="GZ1227" s="91"/>
      <c r="HA1227" s="91"/>
      <c r="HB1227" s="91"/>
      <c r="HC1227" s="91"/>
      <c r="HD1227" s="91"/>
      <c r="HE1227" s="91"/>
      <c r="HF1227" s="91"/>
      <c r="HG1227" s="91"/>
      <c r="HH1227" s="91"/>
      <c r="HI1227" s="91"/>
      <c r="HJ1227" s="91"/>
      <c r="HK1227" s="91"/>
      <c r="HL1227" s="91"/>
      <c r="HM1227" s="91"/>
      <c r="HN1227" s="91"/>
      <c r="HO1227" s="91"/>
      <c r="HP1227" s="91"/>
      <c r="HQ1227" s="91"/>
      <c r="HR1227" s="91"/>
      <c r="HS1227" s="91"/>
      <c r="HT1227" s="91"/>
      <c r="HU1227" s="91"/>
      <c r="HV1227" s="91"/>
      <c r="HW1227" s="91"/>
      <c r="HX1227" s="91"/>
      <c r="HY1227" s="91"/>
      <c r="HZ1227" s="91"/>
      <c r="IA1227" s="91"/>
      <c r="IB1227" s="91"/>
      <c r="IC1227" s="91"/>
      <c r="ID1227" s="91"/>
      <c r="IE1227" s="91"/>
    </row>
    <row r="1228" spans="2:239" ht="15" x14ac:dyDescent="0.2">
      <c r="B1228" s="91"/>
      <c r="C1228" s="91"/>
      <c r="D1228" s="91"/>
      <c r="E1228" s="227"/>
      <c r="F1228" s="91"/>
      <c r="G1228" s="91"/>
      <c r="H1228" s="91"/>
      <c r="I1228" s="91"/>
      <c r="J1228" s="91"/>
      <c r="K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c r="FB1228" s="91"/>
      <c r="FC1228" s="91"/>
      <c r="FD1228" s="91"/>
      <c r="FE1228" s="91"/>
      <c r="FF1228" s="91"/>
      <c r="FG1228" s="91"/>
      <c r="FH1228" s="91"/>
      <c r="FI1228" s="91"/>
      <c r="FJ1228" s="91"/>
      <c r="FK1228" s="91"/>
      <c r="FL1228" s="91"/>
      <c r="FM1228" s="91"/>
      <c r="FN1228" s="91"/>
      <c r="FO1228" s="91"/>
      <c r="FP1228" s="91"/>
      <c r="FQ1228" s="91"/>
      <c r="FR1228" s="91"/>
      <c r="FS1228" s="91"/>
      <c r="FT1228" s="91"/>
      <c r="FU1228" s="91"/>
      <c r="FV1228" s="91"/>
      <c r="FW1228" s="91"/>
      <c r="FX1228" s="91"/>
      <c r="FY1228" s="91"/>
      <c r="FZ1228" s="91"/>
      <c r="GA1228" s="91"/>
      <c r="GB1228" s="91"/>
      <c r="GC1228" s="91"/>
      <c r="GD1228" s="91"/>
      <c r="GE1228" s="91"/>
      <c r="GF1228" s="91"/>
      <c r="GG1228" s="91"/>
      <c r="GH1228" s="91"/>
      <c r="GI1228" s="91"/>
      <c r="GJ1228" s="91"/>
      <c r="GK1228" s="91"/>
      <c r="GL1228" s="91"/>
      <c r="GM1228" s="91"/>
      <c r="GN1228" s="91"/>
      <c r="GO1228" s="91"/>
      <c r="GP1228" s="91"/>
      <c r="GQ1228" s="91"/>
      <c r="GR1228" s="91"/>
      <c r="GS1228" s="91"/>
      <c r="GT1228" s="91"/>
      <c r="GU1228" s="91"/>
      <c r="GV1228" s="91"/>
      <c r="GW1228" s="91"/>
      <c r="GX1228" s="91"/>
      <c r="GY1228" s="91"/>
      <c r="GZ1228" s="91"/>
      <c r="HA1228" s="91"/>
      <c r="HB1228" s="91"/>
      <c r="HC1228" s="91"/>
      <c r="HD1228" s="91"/>
      <c r="HE1228" s="91"/>
      <c r="HF1228" s="91"/>
      <c r="HG1228" s="91"/>
      <c r="HH1228" s="91"/>
      <c r="HI1228" s="91"/>
      <c r="HJ1228" s="91"/>
      <c r="HK1228" s="91"/>
      <c r="HL1228" s="91"/>
      <c r="HM1228" s="91"/>
      <c r="HN1228" s="91"/>
      <c r="HO1228" s="91"/>
      <c r="HP1228" s="91"/>
      <c r="HQ1228" s="91"/>
      <c r="HR1228" s="91"/>
      <c r="HS1228" s="91"/>
      <c r="HT1228" s="91"/>
      <c r="HU1228" s="91"/>
      <c r="HV1228" s="91"/>
      <c r="HW1228" s="91"/>
      <c r="HX1228" s="91"/>
      <c r="HY1228" s="91"/>
      <c r="HZ1228" s="91"/>
      <c r="IA1228" s="91"/>
      <c r="IB1228" s="91"/>
      <c r="IC1228" s="91"/>
      <c r="ID1228" s="91"/>
      <c r="IE1228" s="91"/>
    </row>
    <row r="1229" spans="2:239" ht="15" x14ac:dyDescent="0.2">
      <c r="B1229" s="91"/>
      <c r="C1229" s="91"/>
      <c r="D1229" s="91"/>
      <c r="E1229" s="227"/>
      <c r="F1229" s="91"/>
      <c r="G1229" s="91"/>
      <c r="H1229" s="91"/>
      <c r="I1229" s="91"/>
      <c r="J1229" s="91"/>
      <c r="K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c r="FB1229" s="91"/>
      <c r="FC1229" s="91"/>
      <c r="FD1229" s="91"/>
      <c r="FE1229" s="91"/>
      <c r="FF1229" s="91"/>
      <c r="FG1229" s="91"/>
      <c r="FH1229" s="91"/>
      <c r="FI1229" s="91"/>
      <c r="FJ1229" s="91"/>
      <c r="FK1229" s="91"/>
      <c r="FL1229" s="91"/>
      <c r="FM1229" s="91"/>
      <c r="FN1229" s="91"/>
      <c r="FO1229" s="91"/>
      <c r="FP1229" s="91"/>
      <c r="FQ1229" s="91"/>
      <c r="FR1229" s="91"/>
      <c r="FS1229" s="91"/>
      <c r="FT1229" s="91"/>
      <c r="FU1229" s="91"/>
      <c r="FV1229" s="91"/>
      <c r="FW1229" s="91"/>
      <c r="FX1229" s="91"/>
      <c r="FY1229" s="91"/>
      <c r="FZ1229" s="91"/>
      <c r="GA1229" s="91"/>
      <c r="GB1229" s="91"/>
      <c r="GC1229" s="91"/>
      <c r="GD1229" s="91"/>
      <c r="GE1229" s="91"/>
      <c r="GF1229" s="91"/>
      <c r="GG1229" s="91"/>
      <c r="GH1229" s="91"/>
      <c r="GI1229" s="91"/>
      <c r="GJ1229" s="91"/>
      <c r="GK1229" s="91"/>
      <c r="GL1229" s="91"/>
      <c r="GM1229" s="91"/>
      <c r="GN1229" s="91"/>
      <c r="GO1229" s="91"/>
      <c r="GP1229" s="91"/>
      <c r="GQ1229" s="91"/>
      <c r="GR1229" s="91"/>
      <c r="GS1229" s="91"/>
      <c r="GT1229" s="91"/>
      <c r="GU1229" s="91"/>
      <c r="GV1229" s="91"/>
      <c r="GW1229" s="91"/>
      <c r="GX1229" s="91"/>
      <c r="GY1229" s="91"/>
      <c r="GZ1229" s="91"/>
      <c r="HA1229" s="91"/>
      <c r="HB1229" s="91"/>
      <c r="HC1229" s="91"/>
      <c r="HD1229" s="91"/>
      <c r="HE1229" s="91"/>
      <c r="HF1229" s="91"/>
      <c r="HG1229" s="91"/>
      <c r="HH1229" s="91"/>
      <c r="HI1229" s="91"/>
      <c r="HJ1229" s="91"/>
      <c r="HK1229" s="91"/>
      <c r="HL1229" s="91"/>
      <c r="HM1229" s="91"/>
      <c r="HN1229" s="91"/>
      <c r="HO1229" s="91"/>
      <c r="HP1229" s="91"/>
      <c r="HQ1229" s="91"/>
      <c r="HR1229" s="91"/>
      <c r="HS1229" s="91"/>
      <c r="HT1229" s="91"/>
      <c r="HU1229" s="91"/>
      <c r="HV1229" s="91"/>
      <c r="HW1229" s="91"/>
      <c r="HX1229" s="91"/>
      <c r="HY1229" s="91"/>
      <c r="HZ1229" s="91"/>
      <c r="IA1229" s="91"/>
      <c r="IB1229" s="91"/>
      <c r="IC1229" s="91"/>
      <c r="ID1229" s="91"/>
      <c r="IE1229" s="91"/>
    </row>
    <row r="1230" spans="2:239" ht="15" x14ac:dyDescent="0.2">
      <c r="B1230" s="91"/>
      <c r="C1230" s="91"/>
      <c r="D1230" s="91"/>
      <c r="E1230" s="227"/>
      <c r="F1230" s="91"/>
      <c r="G1230" s="91"/>
      <c r="H1230" s="91"/>
      <c r="I1230" s="91"/>
      <c r="J1230" s="91"/>
      <c r="K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c r="FB1230" s="91"/>
      <c r="FC1230" s="91"/>
      <c r="FD1230" s="91"/>
      <c r="FE1230" s="91"/>
      <c r="FF1230" s="91"/>
      <c r="FG1230" s="91"/>
      <c r="FH1230" s="91"/>
      <c r="FI1230" s="91"/>
      <c r="FJ1230" s="91"/>
      <c r="FK1230" s="91"/>
      <c r="FL1230" s="91"/>
      <c r="FM1230" s="91"/>
      <c r="FN1230" s="91"/>
      <c r="FO1230" s="91"/>
      <c r="FP1230" s="91"/>
      <c r="FQ1230" s="91"/>
      <c r="FR1230" s="91"/>
      <c r="FS1230" s="91"/>
      <c r="FT1230" s="91"/>
      <c r="FU1230" s="91"/>
      <c r="FV1230" s="91"/>
      <c r="FW1230" s="91"/>
      <c r="FX1230" s="91"/>
      <c r="FY1230" s="91"/>
      <c r="FZ1230" s="91"/>
      <c r="GA1230" s="91"/>
      <c r="GB1230" s="91"/>
      <c r="GC1230" s="91"/>
      <c r="GD1230" s="91"/>
      <c r="GE1230" s="91"/>
      <c r="GF1230" s="91"/>
      <c r="GG1230" s="91"/>
      <c r="GH1230" s="91"/>
      <c r="GI1230" s="91"/>
      <c r="GJ1230" s="91"/>
      <c r="GK1230" s="91"/>
      <c r="GL1230" s="91"/>
      <c r="GM1230" s="91"/>
      <c r="GN1230" s="91"/>
      <c r="GO1230" s="91"/>
      <c r="GP1230" s="91"/>
      <c r="GQ1230" s="91"/>
      <c r="GR1230" s="91"/>
      <c r="GS1230" s="91"/>
      <c r="GT1230" s="91"/>
      <c r="GU1230" s="91"/>
      <c r="GV1230" s="91"/>
      <c r="GW1230" s="91"/>
      <c r="GX1230" s="91"/>
      <c r="GY1230" s="91"/>
      <c r="GZ1230" s="91"/>
      <c r="HA1230" s="91"/>
      <c r="HB1230" s="91"/>
      <c r="HC1230" s="91"/>
      <c r="HD1230" s="91"/>
      <c r="HE1230" s="91"/>
      <c r="HF1230" s="91"/>
      <c r="HG1230" s="91"/>
      <c r="HH1230" s="91"/>
      <c r="HI1230" s="91"/>
      <c r="HJ1230" s="91"/>
      <c r="HK1230" s="91"/>
      <c r="HL1230" s="91"/>
      <c r="HM1230" s="91"/>
      <c r="HN1230" s="91"/>
      <c r="HO1230" s="91"/>
      <c r="HP1230" s="91"/>
      <c r="HQ1230" s="91"/>
      <c r="HR1230" s="91"/>
      <c r="HS1230" s="91"/>
      <c r="HT1230" s="91"/>
      <c r="HU1230" s="91"/>
      <c r="HV1230" s="91"/>
      <c r="HW1230" s="91"/>
      <c r="HX1230" s="91"/>
      <c r="HY1230" s="91"/>
      <c r="HZ1230" s="91"/>
      <c r="IA1230" s="91"/>
      <c r="IB1230" s="91"/>
      <c r="IC1230" s="91"/>
      <c r="ID1230" s="91"/>
      <c r="IE1230" s="91"/>
    </row>
    <row r="1231" spans="2:239" ht="15" x14ac:dyDescent="0.2">
      <c r="B1231" s="91"/>
      <c r="C1231" s="91"/>
      <c r="D1231" s="91"/>
      <c r="E1231" s="227"/>
      <c r="F1231" s="91"/>
      <c r="G1231" s="91"/>
      <c r="H1231" s="91"/>
      <c r="I1231" s="91"/>
      <c r="J1231" s="91"/>
      <c r="K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c r="FB1231" s="91"/>
      <c r="FC1231" s="91"/>
      <c r="FD1231" s="91"/>
      <c r="FE1231" s="91"/>
      <c r="FF1231" s="91"/>
      <c r="FG1231" s="91"/>
      <c r="FH1231" s="91"/>
      <c r="FI1231" s="91"/>
      <c r="FJ1231" s="91"/>
      <c r="FK1231" s="91"/>
      <c r="FL1231" s="91"/>
      <c r="FM1231" s="91"/>
      <c r="FN1231" s="91"/>
      <c r="FO1231" s="91"/>
      <c r="FP1231" s="91"/>
      <c r="FQ1231" s="91"/>
      <c r="FR1231" s="91"/>
      <c r="FS1231" s="91"/>
      <c r="FT1231" s="91"/>
      <c r="FU1231" s="91"/>
      <c r="FV1231" s="91"/>
      <c r="FW1231" s="91"/>
      <c r="FX1231" s="91"/>
      <c r="FY1231" s="91"/>
      <c r="FZ1231" s="91"/>
      <c r="GA1231" s="91"/>
      <c r="GB1231" s="91"/>
      <c r="GC1231" s="91"/>
      <c r="GD1231" s="91"/>
      <c r="GE1231" s="91"/>
      <c r="GF1231" s="91"/>
      <c r="GG1231" s="91"/>
      <c r="GH1231" s="91"/>
      <c r="GI1231" s="91"/>
      <c r="GJ1231" s="91"/>
      <c r="GK1231" s="91"/>
      <c r="GL1231" s="91"/>
      <c r="GM1231" s="91"/>
      <c r="GN1231" s="91"/>
      <c r="GO1231" s="91"/>
      <c r="GP1231" s="91"/>
      <c r="GQ1231" s="91"/>
      <c r="GR1231" s="91"/>
      <c r="GS1231" s="91"/>
      <c r="GT1231" s="91"/>
      <c r="GU1231" s="91"/>
      <c r="GV1231" s="91"/>
      <c r="GW1231" s="91"/>
      <c r="GX1231" s="91"/>
      <c r="GY1231" s="91"/>
      <c r="GZ1231" s="91"/>
      <c r="HA1231" s="91"/>
      <c r="HB1231" s="91"/>
      <c r="HC1231" s="91"/>
      <c r="HD1231" s="91"/>
      <c r="HE1231" s="91"/>
      <c r="HF1231" s="91"/>
      <c r="HG1231" s="91"/>
      <c r="HH1231" s="91"/>
      <c r="HI1231" s="91"/>
      <c r="HJ1231" s="91"/>
      <c r="HK1231" s="91"/>
      <c r="HL1231" s="91"/>
      <c r="HM1231" s="91"/>
      <c r="HN1231" s="91"/>
      <c r="HO1231" s="91"/>
      <c r="HP1231" s="91"/>
      <c r="HQ1231" s="91"/>
      <c r="HR1231" s="91"/>
      <c r="HS1231" s="91"/>
      <c r="HT1231" s="91"/>
      <c r="HU1231" s="91"/>
      <c r="HV1231" s="91"/>
      <c r="HW1231" s="91"/>
      <c r="HX1231" s="91"/>
      <c r="HY1231" s="91"/>
      <c r="HZ1231" s="91"/>
      <c r="IA1231" s="91"/>
      <c r="IB1231" s="91"/>
      <c r="IC1231" s="91"/>
      <c r="ID1231" s="91"/>
      <c r="IE1231" s="91"/>
    </row>
    <row r="1232" spans="2:239" ht="15" x14ac:dyDescent="0.2">
      <c r="B1232" s="91"/>
      <c r="C1232" s="91"/>
      <c r="D1232" s="91"/>
      <c r="E1232" s="227"/>
      <c r="F1232" s="91"/>
      <c r="G1232" s="91"/>
      <c r="H1232" s="91"/>
      <c r="I1232" s="91"/>
      <c r="J1232" s="91"/>
      <c r="K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c r="FB1232" s="91"/>
      <c r="FC1232" s="91"/>
      <c r="FD1232" s="91"/>
      <c r="FE1232" s="91"/>
      <c r="FF1232" s="91"/>
      <c r="FG1232" s="91"/>
      <c r="FH1232" s="91"/>
      <c r="FI1232" s="91"/>
      <c r="FJ1232" s="91"/>
      <c r="FK1232" s="91"/>
      <c r="FL1232" s="91"/>
      <c r="FM1232" s="91"/>
      <c r="FN1232" s="91"/>
      <c r="FO1232" s="91"/>
      <c r="FP1232" s="91"/>
      <c r="FQ1232" s="91"/>
      <c r="FR1232" s="91"/>
      <c r="FS1232" s="91"/>
      <c r="FT1232" s="91"/>
      <c r="FU1232" s="91"/>
      <c r="FV1232" s="91"/>
      <c r="FW1232" s="91"/>
      <c r="FX1232" s="91"/>
      <c r="FY1232" s="91"/>
      <c r="FZ1232" s="91"/>
      <c r="GA1232" s="91"/>
      <c r="GB1232" s="91"/>
      <c r="GC1232" s="91"/>
      <c r="GD1232" s="91"/>
      <c r="GE1232" s="91"/>
      <c r="GF1232" s="91"/>
      <c r="GG1232" s="91"/>
      <c r="GH1232" s="91"/>
      <c r="GI1232" s="91"/>
      <c r="GJ1232" s="91"/>
      <c r="GK1232" s="91"/>
      <c r="GL1232" s="91"/>
      <c r="GM1232" s="91"/>
      <c r="GN1232" s="91"/>
      <c r="GO1232" s="91"/>
      <c r="GP1232" s="91"/>
      <c r="GQ1232" s="91"/>
      <c r="GR1232" s="91"/>
      <c r="GS1232" s="91"/>
      <c r="GT1232" s="91"/>
      <c r="GU1232" s="91"/>
      <c r="GV1232" s="91"/>
      <c r="GW1232" s="91"/>
      <c r="GX1232" s="91"/>
      <c r="GY1232" s="91"/>
      <c r="GZ1232" s="91"/>
      <c r="HA1232" s="91"/>
      <c r="HB1232" s="91"/>
      <c r="HC1232" s="91"/>
      <c r="HD1232" s="91"/>
      <c r="HE1232" s="91"/>
      <c r="HF1232" s="91"/>
      <c r="HG1232" s="91"/>
      <c r="HH1232" s="91"/>
      <c r="HI1232" s="91"/>
      <c r="HJ1232" s="91"/>
      <c r="HK1232" s="91"/>
      <c r="HL1232" s="91"/>
      <c r="HM1232" s="91"/>
      <c r="HN1232" s="91"/>
      <c r="HO1232" s="91"/>
      <c r="HP1232" s="91"/>
      <c r="HQ1232" s="91"/>
      <c r="HR1232" s="91"/>
      <c r="HS1232" s="91"/>
      <c r="HT1232" s="91"/>
      <c r="HU1232" s="91"/>
      <c r="HV1232" s="91"/>
      <c r="HW1232" s="91"/>
      <c r="HX1232" s="91"/>
      <c r="HY1232" s="91"/>
      <c r="HZ1232" s="91"/>
      <c r="IA1232" s="91"/>
      <c r="IB1232" s="91"/>
      <c r="IC1232" s="91"/>
      <c r="ID1232" s="91"/>
      <c r="IE1232" s="91"/>
    </row>
    <row r="1233" spans="2:239" ht="15" x14ac:dyDescent="0.2">
      <c r="B1233" s="91"/>
      <c r="C1233" s="91"/>
      <c r="D1233" s="91"/>
      <c r="E1233" s="227"/>
      <c r="F1233" s="91"/>
      <c r="G1233" s="91"/>
      <c r="H1233" s="91"/>
      <c r="I1233" s="91"/>
      <c r="J1233" s="91"/>
      <c r="K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1"/>
      <c r="FE1233" s="91"/>
      <c r="FF1233" s="91"/>
      <c r="FG1233" s="91"/>
      <c r="FH1233" s="91"/>
      <c r="FI1233" s="91"/>
      <c r="FJ1233" s="91"/>
      <c r="FK1233" s="91"/>
      <c r="FL1233" s="91"/>
      <c r="FM1233" s="91"/>
      <c r="FN1233" s="91"/>
      <c r="FO1233" s="91"/>
      <c r="FP1233" s="91"/>
      <c r="FQ1233" s="91"/>
      <c r="FR1233" s="91"/>
      <c r="FS1233" s="91"/>
      <c r="FT1233" s="91"/>
      <c r="FU1233" s="91"/>
      <c r="FV1233" s="91"/>
      <c r="FW1233" s="91"/>
      <c r="FX1233" s="91"/>
      <c r="FY1233" s="91"/>
      <c r="FZ1233" s="91"/>
      <c r="GA1233" s="91"/>
      <c r="GB1233" s="91"/>
      <c r="GC1233" s="91"/>
      <c r="GD1233" s="91"/>
      <c r="GE1233" s="91"/>
      <c r="GF1233" s="91"/>
      <c r="GG1233" s="91"/>
      <c r="GH1233" s="91"/>
      <c r="GI1233" s="91"/>
      <c r="GJ1233" s="91"/>
      <c r="GK1233" s="91"/>
      <c r="GL1233" s="91"/>
      <c r="GM1233" s="91"/>
      <c r="GN1233" s="91"/>
      <c r="GO1233" s="91"/>
      <c r="GP1233" s="91"/>
      <c r="GQ1233" s="91"/>
      <c r="GR1233" s="91"/>
      <c r="GS1233" s="91"/>
      <c r="GT1233" s="91"/>
      <c r="GU1233" s="91"/>
      <c r="GV1233" s="91"/>
      <c r="GW1233" s="91"/>
      <c r="GX1233" s="91"/>
      <c r="GY1233" s="91"/>
      <c r="GZ1233" s="91"/>
      <c r="HA1233" s="91"/>
      <c r="HB1233" s="91"/>
      <c r="HC1233" s="91"/>
      <c r="HD1233" s="91"/>
      <c r="HE1233" s="91"/>
      <c r="HF1233" s="91"/>
      <c r="HG1233" s="91"/>
      <c r="HH1233" s="91"/>
      <c r="HI1233" s="91"/>
      <c r="HJ1233" s="91"/>
      <c r="HK1233" s="91"/>
      <c r="HL1233" s="91"/>
      <c r="HM1233" s="91"/>
      <c r="HN1233" s="91"/>
      <c r="HO1233" s="91"/>
      <c r="HP1233" s="91"/>
      <c r="HQ1233" s="91"/>
      <c r="HR1233" s="91"/>
      <c r="HS1233" s="91"/>
      <c r="HT1233" s="91"/>
      <c r="HU1233" s="91"/>
      <c r="HV1233" s="91"/>
      <c r="HW1233" s="91"/>
      <c r="HX1233" s="91"/>
      <c r="HY1233" s="91"/>
      <c r="HZ1233" s="91"/>
      <c r="IA1233" s="91"/>
      <c r="IB1233" s="91"/>
      <c r="IC1233" s="91"/>
      <c r="ID1233" s="91"/>
      <c r="IE1233" s="91"/>
    </row>
    <row r="1234" spans="2:239" ht="15" x14ac:dyDescent="0.2">
      <c r="B1234" s="91"/>
      <c r="C1234" s="91"/>
      <c r="D1234" s="91"/>
      <c r="E1234" s="227"/>
      <c r="F1234" s="91"/>
      <c r="G1234" s="91"/>
      <c r="H1234" s="91"/>
      <c r="I1234" s="91"/>
      <c r="J1234" s="91"/>
      <c r="K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c r="FB1234" s="91"/>
      <c r="FC1234" s="91"/>
      <c r="FD1234" s="91"/>
      <c r="FE1234" s="91"/>
      <c r="FF1234" s="91"/>
      <c r="FG1234" s="91"/>
      <c r="FH1234" s="91"/>
      <c r="FI1234" s="91"/>
      <c r="FJ1234" s="91"/>
      <c r="FK1234" s="91"/>
      <c r="FL1234" s="91"/>
      <c r="FM1234" s="91"/>
      <c r="FN1234" s="91"/>
      <c r="FO1234" s="91"/>
      <c r="FP1234" s="91"/>
      <c r="FQ1234" s="91"/>
      <c r="FR1234" s="91"/>
      <c r="FS1234" s="91"/>
      <c r="FT1234" s="91"/>
      <c r="FU1234" s="91"/>
      <c r="FV1234" s="91"/>
      <c r="FW1234" s="91"/>
      <c r="FX1234" s="91"/>
      <c r="FY1234" s="91"/>
      <c r="FZ1234" s="91"/>
      <c r="GA1234" s="91"/>
      <c r="GB1234" s="91"/>
      <c r="GC1234" s="91"/>
      <c r="GD1234" s="91"/>
      <c r="GE1234" s="91"/>
      <c r="GF1234" s="91"/>
      <c r="GG1234" s="91"/>
      <c r="GH1234" s="91"/>
      <c r="GI1234" s="91"/>
      <c r="GJ1234" s="91"/>
      <c r="GK1234" s="91"/>
      <c r="GL1234" s="91"/>
      <c r="GM1234" s="91"/>
      <c r="GN1234" s="91"/>
      <c r="GO1234" s="91"/>
      <c r="GP1234" s="91"/>
      <c r="GQ1234" s="91"/>
      <c r="GR1234" s="91"/>
      <c r="GS1234" s="91"/>
      <c r="GT1234" s="91"/>
      <c r="GU1234" s="91"/>
      <c r="GV1234" s="91"/>
      <c r="GW1234" s="91"/>
      <c r="GX1234" s="91"/>
      <c r="GY1234" s="91"/>
      <c r="GZ1234" s="91"/>
      <c r="HA1234" s="91"/>
      <c r="HB1234" s="91"/>
      <c r="HC1234" s="91"/>
      <c r="HD1234" s="91"/>
      <c r="HE1234" s="91"/>
      <c r="HF1234" s="91"/>
      <c r="HG1234" s="91"/>
      <c r="HH1234" s="91"/>
      <c r="HI1234" s="91"/>
      <c r="HJ1234" s="91"/>
      <c r="HK1234" s="91"/>
      <c r="HL1234" s="91"/>
      <c r="HM1234" s="91"/>
      <c r="HN1234" s="91"/>
      <c r="HO1234" s="91"/>
      <c r="HP1234" s="91"/>
      <c r="HQ1234" s="91"/>
      <c r="HR1234" s="91"/>
      <c r="HS1234" s="91"/>
      <c r="HT1234" s="91"/>
      <c r="HU1234" s="91"/>
      <c r="HV1234" s="91"/>
      <c r="HW1234" s="91"/>
      <c r="HX1234" s="91"/>
      <c r="HY1234" s="91"/>
      <c r="HZ1234" s="91"/>
      <c r="IA1234" s="91"/>
      <c r="IB1234" s="91"/>
      <c r="IC1234" s="91"/>
      <c r="ID1234" s="91"/>
      <c r="IE1234" s="91"/>
    </row>
    <row r="1235" spans="2:239" ht="15" x14ac:dyDescent="0.2">
      <c r="B1235" s="91"/>
      <c r="C1235" s="91"/>
      <c r="D1235" s="91"/>
      <c r="E1235" s="227"/>
      <c r="F1235" s="91"/>
      <c r="G1235" s="91"/>
      <c r="H1235" s="91"/>
      <c r="I1235" s="91"/>
      <c r="J1235" s="91"/>
      <c r="K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c r="FB1235" s="91"/>
      <c r="FC1235" s="91"/>
      <c r="FD1235" s="91"/>
      <c r="FE1235" s="91"/>
      <c r="FF1235" s="91"/>
      <c r="FG1235" s="91"/>
      <c r="FH1235" s="91"/>
      <c r="FI1235" s="91"/>
      <c r="FJ1235" s="91"/>
      <c r="FK1235" s="91"/>
      <c r="FL1235" s="91"/>
      <c r="FM1235" s="91"/>
      <c r="FN1235" s="91"/>
      <c r="FO1235" s="91"/>
      <c r="FP1235" s="91"/>
      <c r="FQ1235" s="91"/>
      <c r="FR1235" s="91"/>
      <c r="FS1235" s="91"/>
      <c r="FT1235" s="91"/>
      <c r="FU1235" s="91"/>
      <c r="FV1235" s="91"/>
      <c r="FW1235" s="91"/>
      <c r="FX1235" s="91"/>
      <c r="FY1235" s="91"/>
      <c r="FZ1235" s="91"/>
      <c r="GA1235" s="91"/>
      <c r="GB1235" s="91"/>
      <c r="GC1235" s="91"/>
      <c r="GD1235" s="91"/>
      <c r="GE1235" s="91"/>
      <c r="GF1235" s="91"/>
      <c r="GG1235" s="91"/>
      <c r="GH1235" s="91"/>
      <c r="GI1235" s="91"/>
      <c r="GJ1235" s="91"/>
      <c r="GK1235" s="91"/>
      <c r="GL1235" s="91"/>
      <c r="GM1235" s="91"/>
      <c r="GN1235" s="91"/>
      <c r="GO1235" s="91"/>
      <c r="GP1235" s="91"/>
      <c r="GQ1235" s="91"/>
      <c r="GR1235" s="91"/>
      <c r="GS1235" s="91"/>
      <c r="GT1235" s="91"/>
      <c r="GU1235" s="91"/>
      <c r="GV1235" s="91"/>
      <c r="GW1235" s="91"/>
      <c r="GX1235" s="91"/>
      <c r="GY1235" s="91"/>
      <c r="GZ1235" s="91"/>
      <c r="HA1235" s="91"/>
      <c r="HB1235" s="91"/>
      <c r="HC1235" s="91"/>
      <c r="HD1235" s="91"/>
      <c r="HE1235" s="91"/>
      <c r="HF1235" s="91"/>
      <c r="HG1235" s="91"/>
      <c r="HH1235" s="91"/>
      <c r="HI1235" s="91"/>
      <c r="HJ1235" s="91"/>
      <c r="HK1235" s="91"/>
      <c r="HL1235" s="91"/>
      <c r="HM1235" s="91"/>
      <c r="HN1235" s="91"/>
      <c r="HO1235" s="91"/>
      <c r="HP1235" s="91"/>
      <c r="HQ1235" s="91"/>
      <c r="HR1235" s="91"/>
      <c r="HS1235" s="91"/>
      <c r="HT1235" s="91"/>
      <c r="HU1235" s="91"/>
      <c r="HV1235" s="91"/>
      <c r="HW1235" s="91"/>
      <c r="HX1235" s="91"/>
      <c r="HY1235" s="91"/>
      <c r="HZ1235" s="91"/>
      <c r="IA1235" s="91"/>
      <c r="IB1235" s="91"/>
      <c r="IC1235" s="91"/>
      <c r="ID1235" s="91"/>
      <c r="IE1235" s="91"/>
    </row>
    <row r="1236" spans="2:239" ht="15" x14ac:dyDescent="0.2">
      <c r="B1236" s="91"/>
      <c r="C1236" s="91"/>
      <c r="D1236" s="91"/>
      <c r="E1236" s="227"/>
      <c r="F1236" s="91"/>
      <c r="G1236" s="91"/>
      <c r="H1236" s="91"/>
      <c r="I1236" s="91"/>
      <c r="J1236" s="91"/>
      <c r="K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c r="FB1236" s="91"/>
      <c r="FC1236" s="91"/>
      <c r="FD1236" s="91"/>
      <c r="FE1236" s="91"/>
      <c r="FF1236" s="91"/>
      <c r="FG1236" s="91"/>
      <c r="FH1236" s="91"/>
      <c r="FI1236" s="91"/>
      <c r="FJ1236" s="91"/>
      <c r="FK1236" s="91"/>
      <c r="FL1236" s="91"/>
      <c r="FM1236" s="91"/>
      <c r="FN1236" s="91"/>
      <c r="FO1236" s="91"/>
      <c r="FP1236" s="91"/>
      <c r="FQ1236" s="91"/>
      <c r="FR1236" s="91"/>
      <c r="FS1236" s="91"/>
      <c r="FT1236" s="91"/>
      <c r="FU1236" s="91"/>
      <c r="FV1236" s="91"/>
      <c r="FW1236" s="91"/>
      <c r="FX1236" s="91"/>
      <c r="FY1236" s="91"/>
      <c r="FZ1236" s="91"/>
      <c r="GA1236" s="91"/>
      <c r="GB1236" s="91"/>
      <c r="GC1236" s="91"/>
      <c r="GD1236" s="91"/>
      <c r="GE1236" s="91"/>
      <c r="GF1236" s="91"/>
      <c r="GG1236" s="91"/>
      <c r="GH1236" s="91"/>
      <c r="GI1236" s="91"/>
      <c r="GJ1236" s="91"/>
      <c r="GK1236" s="91"/>
      <c r="GL1236" s="91"/>
      <c r="GM1236" s="91"/>
      <c r="GN1236" s="91"/>
      <c r="GO1236" s="91"/>
      <c r="GP1236" s="91"/>
      <c r="GQ1236" s="91"/>
      <c r="GR1236" s="91"/>
      <c r="GS1236" s="91"/>
      <c r="GT1236" s="91"/>
      <c r="GU1236" s="91"/>
      <c r="GV1236" s="91"/>
      <c r="GW1236" s="91"/>
      <c r="GX1236" s="91"/>
      <c r="GY1236" s="91"/>
      <c r="GZ1236" s="91"/>
      <c r="HA1236" s="91"/>
      <c r="HB1236" s="91"/>
      <c r="HC1236" s="91"/>
      <c r="HD1236" s="91"/>
      <c r="HE1236" s="91"/>
      <c r="HF1236" s="91"/>
      <c r="HG1236" s="91"/>
      <c r="HH1236" s="91"/>
      <c r="HI1236" s="91"/>
      <c r="HJ1236" s="91"/>
      <c r="HK1236" s="91"/>
      <c r="HL1236" s="91"/>
      <c r="HM1236" s="91"/>
      <c r="HN1236" s="91"/>
      <c r="HO1236" s="91"/>
      <c r="HP1236" s="91"/>
      <c r="HQ1236" s="91"/>
      <c r="HR1236" s="91"/>
      <c r="HS1236" s="91"/>
      <c r="HT1236" s="91"/>
      <c r="HU1236" s="91"/>
      <c r="HV1236" s="91"/>
      <c r="HW1236" s="91"/>
      <c r="HX1236" s="91"/>
      <c r="HY1236" s="91"/>
      <c r="HZ1236" s="91"/>
      <c r="IA1236" s="91"/>
      <c r="IB1236" s="91"/>
      <c r="IC1236" s="91"/>
      <c r="ID1236" s="91"/>
      <c r="IE1236" s="91"/>
    </row>
    <row r="1237" spans="2:239" ht="15" x14ac:dyDescent="0.2">
      <c r="B1237" s="91"/>
      <c r="C1237" s="91"/>
      <c r="D1237" s="91"/>
      <c r="E1237" s="227"/>
      <c r="F1237" s="91"/>
      <c r="G1237" s="91"/>
      <c r="H1237" s="91"/>
      <c r="I1237" s="91"/>
      <c r="J1237" s="91"/>
      <c r="K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c r="FB1237" s="91"/>
      <c r="FC1237" s="91"/>
      <c r="FD1237" s="91"/>
      <c r="FE1237" s="91"/>
      <c r="FF1237" s="91"/>
      <c r="FG1237" s="91"/>
      <c r="FH1237" s="91"/>
      <c r="FI1237" s="91"/>
      <c r="FJ1237" s="91"/>
      <c r="FK1237" s="91"/>
      <c r="FL1237" s="91"/>
      <c r="FM1237" s="91"/>
      <c r="FN1237" s="91"/>
      <c r="FO1237" s="91"/>
      <c r="FP1237" s="91"/>
      <c r="FQ1237" s="91"/>
      <c r="FR1237" s="91"/>
      <c r="FS1237" s="91"/>
      <c r="FT1237" s="91"/>
      <c r="FU1237" s="91"/>
      <c r="FV1237" s="91"/>
      <c r="FW1237" s="91"/>
      <c r="FX1237" s="91"/>
      <c r="FY1237" s="91"/>
      <c r="FZ1237" s="91"/>
      <c r="GA1237" s="91"/>
      <c r="GB1237" s="91"/>
      <c r="GC1237" s="91"/>
      <c r="GD1237" s="91"/>
      <c r="GE1237" s="91"/>
      <c r="GF1237" s="91"/>
      <c r="GG1237" s="91"/>
      <c r="GH1237" s="91"/>
      <c r="GI1237" s="91"/>
      <c r="GJ1237" s="91"/>
      <c r="GK1237" s="91"/>
      <c r="GL1237" s="91"/>
      <c r="GM1237" s="91"/>
      <c r="GN1237" s="91"/>
      <c r="GO1237" s="91"/>
      <c r="GP1237" s="91"/>
      <c r="GQ1237" s="91"/>
      <c r="GR1237" s="91"/>
      <c r="GS1237" s="91"/>
      <c r="GT1237" s="91"/>
      <c r="GU1237" s="91"/>
      <c r="GV1237" s="91"/>
      <c r="GW1237" s="91"/>
      <c r="GX1237" s="91"/>
      <c r="GY1237" s="91"/>
      <c r="GZ1237" s="91"/>
      <c r="HA1237" s="91"/>
      <c r="HB1237" s="91"/>
      <c r="HC1237" s="91"/>
      <c r="HD1237" s="91"/>
      <c r="HE1237" s="91"/>
      <c r="HF1237" s="91"/>
      <c r="HG1237" s="91"/>
      <c r="HH1237" s="91"/>
      <c r="HI1237" s="91"/>
      <c r="HJ1237" s="91"/>
      <c r="HK1237" s="91"/>
      <c r="HL1237" s="91"/>
      <c r="HM1237" s="91"/>
      <c r="HN1237" s="91"/>
      <c r="HO1237" s="91"/>
      <c r="HP1237" s="91"/>
      <c r="HQ1237" s="91"/>
      <c r="HR1237" s="91"/>
      <c r="HS1237" s="91"/>
      <c r="HT1237" s="91"/>
      <c r="HU1237" s="91"/>
      <c r="HV1237" s="91"/>
      <c r="HW1237" s="91"/>
      <c r="HX1237" s="91"/>
      <c r="HY1237" s="91"/>
      <c r="HZ1237" s="91"/>
      <c r="IA1237" s="91"/>
      <c r="IB1237" s="91"/>
      <c r="IC1237" s="91"/>
      <c r="ID1237" s="91"/>
      <c r="IE1237" s="91"/>
    </row>
    <row r="1238" spans="2:239" ht="15" x14ac:dyDescent="0.2">
      <c r="B1238" s="91"/>
      <c r="C1238" s="91"/>
      <c r="D1238" s="91"/>
      <c r="E1238" s="227"/>
      <c r="F1238" s="91"/>
      <c r="G1238" s="91"/>
      <c r="H1238" s="91"/>
      <c r="I1238" s="91"/>
      <c r="J1238" s="91"/>
      <c r="K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c r="FB1238" s="91"/>
      <c r="FC1238" s="91"/>
      <c r="FD1238" s="91"/>
      <c r="FE1238" s="91"/>
      <c r="FF1238" s="91"/>
      <c r="FG1238" s="91"/>
      <c r="FH1238" s="91"/>
      <c r="FI1238" s="91"/>
      <c r="FJ1238" s="91"/>
      <c r="FK1238" s="91"/>
      <c r="FL1238" s="91"/>
      <c r="FM1238" s="91"/>
      <c r="FN1238" s="91"/>
      <c r="FO1238" s="91"/>
      <c r="FP1238" s="91"/>
      <c r="FQ1238" s="91"/>
      <c r="FR1238" s="91"/>
      <c r="FS1238" s="91"/>
      <c r="FT1238" s="91"/>
      <c r="FU1238" s="91"/>
      <c r="FV1238" s="91"/>
      <c r="FW1238" s="91"/>
      <c r="FX1238" s="91"/>
      <c r="FY1238" s="91"/>
      <c r="FZ1238" s="91"/>
      <c r="GA1238" s="91"/>
      <c r="GB1238" s="91"/>
      <c r="GC1238" s="91"/>
      <c r="GD1238" s="91"/>
      <c r="GE1238" s="91"/>
      <c r="GF1238" s="91"/>
      <c r="GG1238" s="91"/>
      <c r="GH1238" s="91"/>
      <c r="GI1238" s="91"/>
      <c r="GJ1238" s="91"/>
      <c r="GK1238" s="91"/>
      <c r="GL1238" s="91"/>
      <c r="GM1238" s="91"/>
      <c r="GN1238" s="91"/>
      <c r="GO1238" s="91"/>
      <c r="GP1238" s="91"/>
      <c r="GQ1238" s="91"/>
      <c r="GR1238" s="91"/>
      <c r="GS1238" s="91"/>
      <c r="GT1238" s="91"/>
      <c r="GU1238" s="91"/>
      <c r="GV1238" s="91"/>
      <c r="GW1238" s="91"/>
      <c r="GX1238" s="91"/>
      <c r="GY1238" s="91"/>
      <c r="GZ1238" s="91"/>
      <c r="HA1238" s="91"/>
      <c r="HB1238" s="91"/>
      <c r="HC1238" s="91"/>
      <c r="HD1238" s="91"/>
      <c r="HE1238" s="91"/>
      <c r="HF1238" s="91"/>
      <c r="HG1238" s="91"/>
      <c r="HH1238" s="91"/>
      <c r="HI1238" s="91"/>
      <c r="HJ1238" s="91"/>
      <c r="HK1238" s="91"/>
      <c r="HL1238" s="91"/>
      <c r="HM1238" s="91"/>
      <c r="HN1238" s="91"/>
      <c r="HO1238" s="91"/>
      <c r="HP1238" s="91"/>
      <c r="HQ1238" s="91"/>
      <c r="HR1238" s="91"/>
      <c r="HS1238" s="91"/>
      <c r="HT1238" s="91"/>
      <c r="HU1238" s="91"/>
      <c r="HV1238" s="91"/>
      <c r="HW1238" s="91"/>
      <c r="HX1238" s="91"/>
      <c r="HY1238" s="91"/>
      <c r="HZ1238" s="91"/>
      <c r="IA1238" s="91"/>
      <c r="IB1238" s="91"/>
      <c r="IC1238" s="91"/>
      <c r="ID1238" s="91"/>
      <c r="IE1238" s="91"/>
    </row>
    <row r="1239" spans="2:239" ht="15" x14ac:dyDescent="0.2">
      <c r="B1239" s="91"/>
      <c r="C1239" s="91"/>
      <c r="D1239" s="91"/>
      <c r="E1239" s="227"/>
      <c r="F1239" s="91"/>
      <c r="G1239" s="91"/>
      <c r="H1239" s="91"/>
      <c r="I1239" s="91"/>
      <c r="J1239" s="91"/>
      <c r="K1239" s="91"/>
    </row>
    <row r="1240" spans="2:239" ht="15" x14ac:dyDescent="0.2">
      <c r="B1240" s="91"/>
      <c r="C1240" s="91"/>
      <c r="D1240" s="91"/>
      <c r="E1240" s="227"/>
      <c r="F1240" s="91"/>
      <c r="G1240" s="91"/>
      <c r="H1240" s="91"/>
      <c r="I1240" s="91"/>
      <c r="J1240" s="91"/>
      <c r="K1240" s="91"/>
    </row>
    <row r="1241" spans="2:239" ht="15" x14ac:dyDescent="0.2">
      <c r="B1241" s="91"/>
      <c r="C1241" s="91"/>
      <c r="D1241" s="91"/>
      <c r="E1241" s="227"/>
      <c r="F1241" s="91"/>
      <c r="G1241" s="91"/>
      <c r="H1241" s="91"/>
      <c r="I1241" s="91"/>
      <c r="J1241" s="91"/>
      <c r="K1241" s="91"/>
    </row>
    <row r="1242" spans="2:239" ht="15" x14ac:dyDescent="0.2">
      <c r="B1242" s="91"/>
      <c r="C1242" s="91"/>
      <c r="D1242" s="91"/>
      <c r="E1242" s="227"/>
      <c r="F1242" s="91"/>
      <c r="G1242" s="91"/>
      <c r="H1242" s="91"/>
      <c r="I1242" s="91"/>
      <c r="J1242" s="91"/>
      <c r="K1242" s="91"/>
    </row>
    <row r="1243" spans="2:239" ht="15" x14ac:dyDescent="0.2">
      <c r="B1243" s="91"/>
      <c r="C1243" s="91"/>
      <c r="D1243" s="91"/>
      <c r="E1243" s="227"/>
      <c r="F1243" s="91"/>
      <c r="G1243" s="91"/>
      <c r="H1243" s="91"/>
      <c r="I1243" s="91"/>
      <c r="J1243" s="91"/>
      <c r="K1243" s="91"/>
    </row>
    <row r="1244" spans="2:239" ht="15" x14ac:dyDescent="0.2">
      <c r="B1244" s="91"/>
      <c r="C1244" s="91"/>
      <c r="D1244" s="91"/>
      <c r="E1244" s="227"/>
      <c r="F1244" s="91"/>
      <c r="G1244" s="91"/>
      <c r="H1244" s="91"/>
      <c r="I1244" s="91"/>
      <c r="J1244" s="91"/>
      <c r="K1244" s="91"/>
    </row>
  </sheetData>
  <mergeCells count="6">
    <mergeCell ref="B8:L8"/>
    <mergeCell ref="B2:I2"/>
    <mergeCell ref="B3:I3"/>
    <mergeCell ref="B4:I4"/>
    <mergeCell ref="B5:I5"/>
    <mergeCell ref="B6:I6"/>
  </mergeCells>
  <phoneticPr fontId="7" type="noConversion"/>
  <dataValidations count="1">
    <dataValidation type="list" allowBlank="1" showInputMessage="1" showErrorMessage="1" sqref="B36:B37">
      <formula1>Rotation</formula1>
    </dataValidation>
  </dataValidations>
  <hyperlinks>
    <hyperlink ref="B15" location="'Soft White Winter Wheat'!A1" display="Soft White Winter Wheat (SWWW)"/>
    <hyperlink ref="B17" location="SW" display="Soft White Spring Wheat (SWSW)"/>
    <hyperlink ref="B18" location="RSW" display="Hard Red Spring Wheat (HRSW)"/>
    <hyperlink ref="B20" location="SPeas" display="Peas (P)"/>
    <hyperlink ref="B21" location="'Austrian Winter Peas'!A1" display="Austrian Winter Peas (AWP)"/>
    <hyperlink ref="B24" location="SC" display="Spring Canola (SC)"/>
    <hyperlink ref="B23" location="Garbanzos!A1" display="Chickpeas (CP)"/>
    <hyperlink ref="B22" location="SL" display="Lentils (L)"/>
    <hyperlink ref="B19" location="SB" display="Spring Barley (SB)"/>
    <hyperlink ref="E40" location="'Soft White Winter Wheat'!A1" display="EBB1-SWW-09 "/>
    <hyperlink ref="E42" location="'Soft White Spring Wheat'!A1" display="EBB1-SSW-09 "/>
    <hyperlink ref="E44" location="'Feed Barley'!A1" display="EBB1-FB-09 "/>
    <hyperlink ref="E45" location="'Spring Lentils'!A1" display="EBB1-Len-09 "/>
    <hyperlink ref="E46" location="'Spring Peas'!A1" display="EBB1-SP-09 "/>
    <hyperlink ref="E48" location="Chickpeas!A1" display="Chickpeas"/>
    <hyperlink ref="E49" location="'Spring Canola'!A1" display="EBB1-SC-09 "/>
    <hyperlink ref="E47" location="'Austrian Winter Peas'!A1" display="Austrian Winter Peas"/>
    <hyperlink ref="E43" location="'Dark Northern Spring Wheat'!A1" display="Dark Northern Spring Wheat"/>
    <hyperlink ref="E41" location="'Hard Red Winter Wheat'!A1" display="Hard Red Winter Wheat"/>
  </hyperlinks>
  <printOptions horizontalCentered="1"/>
  <pageMargins left="0.75" right="0.75" top="1" bottom="1" header="0" footer="0.5"/>
  <pageSetup scale="65" orientation="landscape" r:id="rId1"/>
  <headerFooter alignWithMargins="0">
    <oddFooter>&amp;L&amp;A&amp;C&amp;F&amp;R&amp;D</oddFooter>
  </headerFooter>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W267"/>
  <sheetViews>
    <sheetView topLeftCell="A202" zoomScaleNormal="100" workbookViewId="0">
      <selection activeCell="A243" sqref="A243:XFD243"/>
    </sheetView>
  </sheetViews>
  <sheetFormatPr defaultColWidth="8.85546875" defaultRowHeight="12" x14ac:dyDescent="0.2"/>
  <cols>
    <col min="1" max="1" width="4.140625" style="281" customWidth="1"/>
    <col min="2" max="2" width="26.140625" style="281" customWidth="1"/>
    <col min="3" max="3" width="8.42578125" style="281" customWidth="1"/>
    <col min="4" max="4" width="8.7109375" style="281" customWidth="1"/>
    <col min="5" max="5" width="9.85546875" style="281" customWidth="1"/>
    <col min="6" max="6" width="9.7109375" style="281" customWidth="1"/>
    <col min="7" max="7" width="8.7109375" style="281" customWidth="1"/>
    <col min="8" max="8" width="8" style="281" customWidth="1"/>
    <col min="9" max="9" width="7.7109375" style="281" customWidth="1"/>
    <col min="10" max="10" width="7.85546875" style="281" customWidth="1"/>
    <col min="11" max="13" width="8.7109375" style="281" customWidth="1"/>
    <col min="14" max="14" width="9.7109375" style="281" customWidth="1"/>
    <col min="15" max="15" width="15.7109375" style="281" customWidth="1"/>
    <col min="16" max="16384" width="8.85546875" style="281"/>
  </cols>
  <sheetData>
    <row r="1" spans="1:23" x14ac:dyDescent="0.2">
      <c r="B1" s="282"/>
      <c r="C1" s="282"/>
      <c r="D1" s="282"/>
      <c r="E1" s="282"/>
    </row>
    <row r="2" spans="1:23" s="384" customFormat="1" ht="21.6" customHeight="1" x14ac:dyDescent="0.25">
      <c r="B2" s="603" t="s">
        <v>540</v>
      </c>
      <c r="C2" s="603"/>
      <c r="D2" s="603"/>
      <c r="E2" s="603"/>
      <c r="F2" s="603"/>
      <c r="G2" s="603"/>
      <c r="H2" s="603"/>
      <c r="I2" s="603"/>
      <c r="J2" s="603"/>
      <c r="K2" s="603"/>
      <c r="L2" s="603"/>
      <c r="M2" s="603"/>
      <c r="N2" s="603"/>
    </row>
    <row r="3" spans="1:23" ht="12" customHeight="1" x14ac:dyDescent="0.2">
      <c r="B3" s="283"/>
      <c r="C3" s="597" t="s">
        <v>48</v>
      </c>
      <c r="D3" s="598"/>
      <c r="E3" s="598"/>
      <c r="F3" s="599"/>
      <c r="G3" s="600" t="s">
        <v>110</v>
      </c>
      <c r="H3" s="601"/>
      <c r="I3" s="601"/>
      <c r="J3" s="602"/>
      <c r="K3" s="605" t="s">
        <v>45</v>
      </c>
      <c r="L3" s="606"/>
      <c r="M3" s="284" t="s">
        <v>2</v>
      </c>
      <c r="N3" s="607" t="s">
        <v>111</v>
      </c>
    </row>
    <row r="4" spans="1:23" ht="49.15" customHeight="1" x14ac:dyDescent="0.2">
      <c r="B4" s="285"/>
      <c r="C4" s="286" t="s">
        <v>337</v>
      </c>
      <c r="D4" s="283" t="s">
        <v>112</v>
      </c>
      <c r="E4" s="286" t="s">
        <v>113</v>
      </c>
      <c r="F4" s="286" t="s">
        <v>305</v>
      </c>
      <c r="G4" s="287" t="s">
        <v>104</v>
      </c>
      <c r="H4" s="287" t="s">
        <v>105</v>
      </c>
      <c r="I4" s="310" t="s">
        <v>336</v>
      </c>
      <c r="J4" s="287" t="s">
        <v>215</v>
      </c>
      <c r="K4" s="288"/>
      <c r="L4" s="288"/>
      <c r="M4" s="286"/>
      <c r="N4" s="608"/>
    </row>
    <row r="5" spans="1:23" ht="12.75" customHeight="1" x14ac:dyDescent="0.2">
      <c r="B5" s="289"/>
      <c r="C5" s="289"/>
      <c r="D5" s="289"/>
      <c r="E5" s="290"/>
      <c r="F5" s="291"/>
      <c r="G5" s="292"/>
      <c r="H5" s="292"/>
      <c r="I5" s="292"/>
      <c r="J5" s="292"/>
      <c r="K5" s="293" t="s">
        <v>227</v>
      </c>
      <c r="L5" s="293" t="s">
        <v>3</v>
      </c>
      <c r="M5" s="294" t="s">
        <v>4</v>
      </c>
      <c r="N5" s="295" t="s">
        <v>227</v>
      </c>
      <c r="O5" s="435"/>
      <c r="P5" s="435"/>
      <c r="Q5" s="435"/>
      <c r="R5" s="435"/>
      <c r="S5" s="435"/>
      <c r="T5" s="435"/>
      <c r="U5" s="435"/>
      <c r="V5" s="435"/>
      <c r="W5" s="435"/>
    </row>
    <row r="6" spans="1:23" x14ac:dyDescent="0.2">
      <c r="B6" s="296" t="s">
        <v>106</v>
      </c>
      <c r="C6" s="297">
        <v>0.85</v>
      </c>
      <c r="D6" s="297">
        <v>0.63</v>
      </c>
      <c r="E6" s="297">
        <v>0.64</v>
      </c>
      <c r="F6" s="297">
        <f t="shared" ref="F6:F11" si="0">SUM(C6:E6)</f>
        <v>2.12</v>
      </c>
      <c r="G6" s="297">
        <v>0.24</v>
      </c>
      <c r="H6" s="297">
        <v>1.48</v>
      </c>
      <c r="I6" s="297">
        <v>0.22</v>
      </c>
      <c r="J6" s="297">
        <f t="shared" ref="J6:J11" si="1">SUM(G6:I6)</f>
        <v>1.94</v>
      </c>
      <c r="K6" s="297">
        <v>2.4</v>
      </c>
      <c r="L6" s="298">
        <f t="shared" ref="L6:L11" si="2">+K6/20</f>
        <v>0.12</v>
      </c>
      <c r="M6" s="298">
        <f>H6/3.55</f>
        <v>0.41690140845070423</v>
      </c>
      <c r="N6" s="297">
        <f>K6+J6+F6</f>
        <v>6.46</v>
      </c>
      <c r="O6" s="435"/>
      <c r="P6" s="435"/>
      <c r="Q6" s="435"/>
      <c r="R6" s="435"/>
      <c r="S6" s="435"/>
      <c r="T6" s="435"/>
      <c r="U6" s="435"/>
      <c r="V6" s="435"/>
      <c r="W6" s="435"/>
    </row>
    <row r="7" spans="1:23" x14ac:dyDescent="0.2">
      <c r="B7" s="296" t="s">
        <v>89</v>
      </c>
      <c r="C7" s="297">
        <v>0.48</v>
      </c>
      <c r="D7" s="297">
        <v>0.3</v>
      </c>
      <c r="E7" s="297">
        <v>0.44</v>
      </c>
      <c r="F7" s="297">
        <f t="shared" si="0"/>
        <v>1.22</v>
      </c>
      <c r="G7" s="297">
        <v>0.4</v>
      </c>
      <c r="H7" s="297">
        <v>0.28999999999999998</v>
      </c>
      <c r="I7" s="297">
        <v>0.04</v>
      </c>
      <c r="J7" s="297">
        <f t="shared" si="1"/>
        <v>0.73</v>
      </c>
      <c r="K7" s="297">
        <v>0.6</v>
      </c>
      <c r="L7" s="298">
        <f t="shared" si="2"/>
        <v>0.03</v>
      </c>
      <c r="M7" s="298">
        <f>H7/Diesel</f>
        <v>0.14499999999999999</v>
      </c>
      <c r="N7" s="297">
        <f t="shared" ref="N7:N22" si="3">K7+J7+F7</f>
        <v>2.5499999999999998</v>
      </c>
      <c r="O7" s="435"/>
      <c r="P7" s="435"/>
      <c r="Q7" s="435"/>
      <c r="R7" s="435"/>
      <c r="S7" s="435"/>
      <c r="T7" s="435"/>
      <c r="U7" s="435"/>
      <c r="V7" s="435"/>
      <c r="W7" s="435"/>
    </row>
    <row r="8" spans="1:23" x14ac:dyDescent="0.2">
      <c r="B8" s="296" t="s">
        <v>437</v>
      </c>
      <c r="C8" s="297">
        <v>0.79300000000000004</v>
      </c>
      <c r="D8" s="297">
        <v>0.623</v>
      </c>
      <c r="E8" s="297">
        <v>0.09</v>
      </c>
      <c r="F8" s="297">
        <f t="shared" si="0"/>
        <v>1.506</v>
      </c>
      <c r="G8" s="297">
        <v>0.41799999999999998</v>
      </c>
      <c r="H8" s="297">
        <v>1.4</v>
      </c>
      <c r="I8" s="297">
        <v>0.21</v>
      </c>
      <c r="J8" s="297">
        <f t="shared" si="1"/>
        <v>2.028</v>
      </c>
      <c r="K8" s="297">
        <v>0.88</v>
      </c>
      <c r="L8" s="298">
        <f t="shared" si="2"/>
        <v>4.3999999999999997E-2</v>
      </c>
      <c r="M8" s="298">
        <f>H8/Diesel</f>
        <v>0.7</v>
      </c>
      <c r="N8" s="297">
        <f t="shared" si="3"/>
        <v>4.4139999999999997</v>
      </c>
      <c r="O8" s="435"/>
      <c r="P8" s="435"/>
      <c r="Q8" s="435"/>
      <c r="R8" s="435"/>
      <c r="S8" s="435"/>
      <c r="T8" s="435"/>
      <c r="U8" s="435"/>
      <c r="V8" s="435"/>
      <c r="W8" s="435"/>
    </row>
    <row r="9" spans="1:23" x14ac:dyDescent="0.2">
      <c r="B9" s="296" t="s">
        <v>90</v>
      </c>
      <c r="C9" s="297">
        <v>0.48</v>
      </c>
      <c r="D9" s="297">
        <v>0.24</v>
      </c>
      <c r="E9" s="297">
        <v>0.14000000000000001</v>
      </c>
      <c r="F9" s="297">
        <f t="shared" si="0"/>
        <v>0.86</v>
      </c>
      <c r="G9" s="297">
        <v>0.16</v>
      </c>
      <c r="H9" s="297">
        <v>0.06</v>
      </c>
      <c r="I9" s="297">
        <v>0.01</v>
      </c>
      <c r="J9" s="297">
        <f t="shared" si="1"/>
        <v>0.23</v>
      </c>
      <c r="K9" s="297">
        <v>0.16</v>
      </c>
      <c r="L9" s="298">
        <f t="shared" si="2"/>
        <v>8.0000000000000002E-3</v>
      </c>
      <c r="M9" s="298">
        <f>H9/3.55</f>
        <v>1.6901408450704227E-2</v>
      </c>
      <c r="N9" s="297">
        <f t="shared" si="3"/>
        <v>1.25</v>
      </c>
      <c r="O9" s="435"/>
      <c r="P9" s="435"/>
      <c r="Q9" s="435"/>
      <c r="R9" s="435"/>
      <c r="S9" s="435"/>
      <c r="T9" s="435"/>
      <c r="U9" s="435"/>
      <c r="V9" s="435"/>
      <c r="W9" s="435"/>
    </row>
    <row r="10" spans="1:23" x14ac:dyDescent="0.2">
      <c r="B10" s="296" t="s">
        <v>79</v>
      </c>
      <c r="C10" s="297">
        <v>0.2</v>
      </c>
      <c r="D10" s="297">
        <v>0.122</v>
      </c>
      <c r="E10" s="297">
        <v>2.1999999999999999E-2</v>
      </c>
      <c r="F10" s="297">
        <f t="shared" si="0"/>
        <v>0.34400000000000003</v>
      </c>
      <c r="G10" s="297">
        <v>0.04</v>
      </c>
      <c r="H10" s="297">
        <v>0.25600000000000001</v>
      </c>
      <c r="I10" s="297">
        <v>3.7999999999999999E-2</v>
      </c>
      <c r="J10" s="297">
        <f t="shared" si="1"/>
        <v>0.33399999999999996</v>
      </c>
      <c r="K10" s="297">
        <v>1.32</v>
      </c>
      <c r="L10" s="298">
        <f t="shared" si="2"/>
        <v>6.6000000000000003E-2</v>
      </c>
      <c r="M10" s="298">
        <f>H10/3.55</f>
        <v>7.2112676056338032E-2</v>
      </c>
      <c r="N10" s="297">
        <f>K10+J10+F10</f>
        <v>1.998</v>
      </c>
      <c r="O10" s="435"/>
      <c r="P10" s="435"/>
      <c r="Q10" s="435"/>
      <c r="R10" s="435"/>
      <c r="S10" s="435"/>
      <c r="T10" s="435"/>
      <c r="U10" s="435"/>
      <c r="V10" s="435"/>
      <c r="W10" s="435"/>
    </row>
    <row r="11" spans="1:23" x14ac:dyDescent="0.2">
      <c r="B11" s="434" t="s">
        <v>436</v>
      </c>
      <c r="C11" s="297">
        <v>0.16700000000000001</v>
      </c>
      <c r="D11" s="297">
        <v>0.17599999999999999</v>
      </c>
      <c r="E11" s="297">
        <v>3.1E-2</v>
      </c>
      <c r="F11" s="297">
        <f t="shared" si="0"/>
        <v>0.374</v>
      </c>
      <c r="G11" s="297">
        <v>0.08</v>
      </c>
      <c r="H11" s="297">
        <v>0.42</v>
      </c>
      <c r="I11" s="297">
        <v>6.3E-2</v>
      </c>
      <c r="J11" s="297">
        <f t="shared" si="1"/>
        <v>0.56299999999999994</v>
      </c>
      <c r="K11" s="297">
        <v>0.88</v>
      </c>
      <c r="L11" s="298">
        <f t="shared" si="2"/>
        <v>4.3999999999999997E-2</v>
      </c>
      <c r="M11" s="298">
        <f>H11/Diesel</f>
        <v>0.21</v>
      </c>
      <c r="N11" s="297">
        <f t="shared" si="3"/>
        <v>1.8170000000000002</v>
      </c>
      <c r="O11" s="435"/>
      <c r="P11" s="435"/>
      <c r="Q11" s="435"/>
      <c r="R11" s="435"/>
      <c r="S11" s="435"/>
      <c r="T11" s="435"/>
      <c r="U11" s="435"/>
      <c r="V11" s="435"/>
      <c r="W11" s="435"/>
    </row>
    <row r="12" spans="1:23" x14ac:dyDescent="0.2">
      <c r="B12" s="296" t="s">
        <v>440</v>
      </c>
      <c r="C12" s="297">
        <v>1.83</v>
      </c>
      <c r="D12" s="297">
        <v>1.21</v>
      </c>
      <c r="E12" s="297">
        <v>0.38</v>
      </c>
      <c r="F12" s="297">
        <f t="shared" ref="F12:F22" si="4">SUM(C12:E12)</f>
        <v>3.42</v>
      </c>
      <c r="G12" s="297">
        <v>1.35</v>
      </c>
      <c r="H12" s="297">
        <v>3.45</v>
      </c>
      <c r="I12" s="297">
        <v>0.52</v>
      </c>
      <c r="J12" s="297">
        <f t="shared" ref="J12:J22" si="5">SUM(G12:I12)</f>
        <v>5.32</v>
      </c>
      <c r="K12" s="297">
        <v>1.42</v>
      </c>
      <c r="L12" s="298">
        <v>9.6789873417721509E-2</v>
      </c>
      <c r="M12" s="298">
        <f>H12/Diesel</f>
        <v>1.7250000000000001</v>
      </c>
      <c r="N12" s="297">
        <f t="shared" si="3"/>
        <v>10.16</v>
      </c>
      <c r="O12" s="435"/>
      <c r="P12" s="435"/>
      <c r="Q12" s="435"/>
      <c r="R12" s="435"/>
      <c r="S12" s="435"/>
      <c r="T12" s="435"/>
      <c r="U12" s="435"/>
      <c r="V12" s="435"/>
      <c r="W12" s="435"/>
    </row>
    <row r="13" spans="1:23" x14ac:dyDescent="0.2">
      <c r="B13" s="296" t="s">
        <v>28</v>
      </c>
      <c r="C13" s="297">
        <v>6.55</v>
      </c>
      <c r="D13" s="297">
        <v>4.42</v>
      </c>
      <c r="E13" s="297">
        <v>1.7</v>
      </c>
      <c r="F13" s="297">
        <f t="shared" si="4"/>
        <v>12.669999999999998</v>
      </c>
      <c r="G13" s="297">
        <v>2.46</v>
      </c>
      <c r="H13" s="297">
        <v>2.86</v>
      </c>
      <c r="I13" s="297">
        <v>0.43</v>
      </c>
      <c r="J13" s="297">
        <f t="shared" si="5"/>
        <v>5.75</v>
      </c>
      <c r="K13" s="297">
        <v>2.0499999999999998</v>
      </c>
      <c r="L13" s="298">
        <v>0.27625443037974684</v>
      </c>
      <c r="M13" s="298">
        <f t="shared" ref="M13:M21" si="6">H13/Diesel</f>
        <v>1.43</v>
      </c>
      <c r="N13" s="297">
        <f t="shared" si="3"/>
        <v>20.47</v>
      </c>
      <c r="O13" s="435"/>
      <c r="P13" s="435"/>
      <c r="Q13" s="435"/>
      <c r="R13" s="435"/>
      <c r="S13" s="435"/>
      <c r="T13" s="435"/>
      <c r="U13" s="435"/>
      <c r="V13" s="435"/>
      <c r="W13" s="435"/>
    </row>
    <row r="14" spans="1:23" x14ac:dyDescent="0.2">
      <c r="B14" s="296" t="s">
        <v>446</v>
      </c>
      <c r="C14" s="297">
        <v>0.96</v>
      </c>
      <c r="D14" s="297">
        <v>0.81</v>
      </c>
      <c r="E14" s="297">
        <v>0.11</v>
      </c>
      <c r="F14" s="297">
        <f t="shared" si="4"/>
        <v>1.8800000000000001</v>
      </c>
      <c r="G14" s="297">
        <v>0.86</v>
      </c>
      <c r="H14" s="297">
        <v>0.85</v>
      </c>
      <c r="I14" s="297">
        <v>0.13</v>
      </c>
      <c r="J14" s="297">
        <f>SUM(G14:I14)</f>
        <v>1.8399999999999999</v>
      </c>
      <c r="K14" s="297">
        <v>0.59</v>
      </c>
      <c r="L14" s="298">
        <v>3.4279746835443041E-2</v>
      </c>
      <c r="M14" s="298">
        <f t="shared" si="6"/>
        <v>0.42499999999999999</v>
      </c>
      <c r="N14" s="297">
        <f t="shared" si="3"/>
        <v>4.3099999999999996</v>
      </c>
      <c r="O14" s="435"/>
      <c r="P14" s="435"/>
      <c r="Q14" s="435"/>
      <c r="R14" s="435"/>
      <c r="S14" s="435"/>
      <c r="T14" s="435"/>
      <c r="U14" s="435"/>
      <c r="V14" s="435"/>
      <c r="W14" s="435"/>
    </row>
    <row r="15" spans="1:23" s="299" customFormat="1" x14ac:dyDescent="0.2">
      <c r="A15" s="281"/>
      <c r="B15" s="296" t="s">
        <v>109</v>
      </c>
      <c r="C15" s="297">
        <v>0.89</v>
      </c>
      <c r="D15" s="297">
        <v>0.88</v>
      </c>
      <c r="E15" s="297">
        <v>0.13</v>
      </c>
      <c r="F15" s="297">
        <f t="shared" si="4"/>
        <v>1.9</v>
      </c>
      <c r="G15" s="297">
        <v>0.63</v>
      </c>
      <c r="H15" s="297">
        <v>2.94</v>
      </c>
      <c r="I15" s="297">
        <v>0.44</v>
      </c>
      <c r="J15" s="297">
        <f t="shared" si="5"/>
        <v>4.01</v>
      </c>
      <c r="K15" s="297">
        <v>1.32</v>
      </c>
      <c r="L15" s="298">
        <v>6.6543037974683555E-2</v>
      </c>
      <c r="M15" s="298">
        <f t="shared" si="6"/>
        <v>1.47</v>
      </c>
      <c r="N15" s="297">
        <f t="shared" si="3"/>
        <v>7.23</v>
      </c>
      <c r="O15" s="435"/>
      <c r="P15" s="435"/>
      <c r="Q15" s="435"/>
      <c r="R15" s="435"/>
      <c r="S15" s="435"/>
      <c r="T15" s="435"/>
      <c r="U15" s="435"/>
      <c r="V15" s="435"/>
      <c r="W15" s="435"/>
    </row>
    <row r="16" spans="1:23" x14ac:dyDescent="0.2">
      <c r="B16" s="296" t="s">
        <v>441</v>
      </c>
      <c r="C16" s="297">
        <v>2.0099999999999998</v>
      </c>
      <c r="D16" s="297">
        <v>1.56</v>
      </c>
      <c r="E16" s="297">
        <v>0.19</v>
      </c>
      <c r="F16" s="297">
        <f t="shared" si="4"/>
        <v>3.76</v>
      </c>
      <c r="G16" s="297">
        <v>0.96</v>
      </c>
      <c r="H16" s="297">
        <v>1.21</v>
      </c>
      <c r="I16" s="297">
        <v>0.18</v>
      </c>
      <c r="J16" s="297">
        <f t="shared" si="5"/>
        <v>2.35</v>
      </c>
      <c r="K16" s="297">
        <v>0.85</v>
      </c>
      <c r="L16" s="298">
        <v>5.7132911392405061E-2</v>
      </c>
      <c r="M16" s="298">
        <f t="shared" si="6"/>
        <v>0.60499999999999998</v>
      </c>
      <c r="N16" s="297">
        <f t="shared" si="3"/>
        <v>6.96</v>
      </c>
      <c r="O16" s="435"/>
      <c r="P16" s="435"/>
      <c r="Q16" s="435"/>
      <c r="R16" s="435"/>
      <c r="S16" s="435"/>
      <c r="T16" s="435"/>
      <c r="U16" s="435"/>
      <c r="V16" s="435"/>
      <c r="W16" s="435"/>
    </row>
    <row r="17" spans="1:23" s="299" customFormat="1" x14ac:dyDescent="0.2">
      <c r="A17" s="300"/>
      <c r="B17" s="296" t="s">
        <v>442</v>
      </c>
      <c r="C17" s="297">
        <v>2.95</v>
      </c>
      <c r="D17" s="297">
        <v>2.23</v>
      </c>
      <c r="E17" s="297">
        <v>0.27</v>
      </c>
      <c r="F17" s="297">
        <f t="shared" si="4"/>
        <v>5.4499999999999993</v>
      </c>
      <c r="G17" s="297">
        <v>1.91</v>
      </c>
      <c r="H17" s="297">
        <v>4.4800000000000004</v>
      </c>
      <c r="I17" s="297">
        <v>0.67</v>
      </c>
      <c r="J17" s="297">
        <f t="shared" si="5"/>
        <v>7.0600000000000005</v>
      </c>
      <c r="K17" s="297">
        <v>1.83</v>
      </c>
      <c r="L17" s="298">
        <v>0.12502025316455698</v>
      </c>
      <c r="M17" s="298">
        <f t="shared" si="6"/>
        <v>2.2400000000000002</v>
      </c>
      <c r="N17" s="297">
        <f t="shared" si="3"/>
        <v>14.34</v>
      </c>
      <c r="O17" s="435"/>
      <c r="P17" s="435"/>
      <c r="Q17" s="435"/>
      <c r="R17" s="435"/>
      <c r="S17" s="435"/>
      <c r="T17" s="435"/>
      <c r="U17" s="435"/>
      <c r="V17" s="435"/>
      <c r="W17" s="435"/>
    </row>
    <row r="18" spans="1:23" s="299" customFormat="1" x14ac:dyDescent="0.2">
      <c r="A18" s="300"/>
      <c r="B18" s="296" t="s">
        <v>443</v>
      </c>
      <c r="C18" s="297">
        <v>3.26</v>
      </c>
      <c r="D18" s="297">
        <v>2.76</v>
      </c>
      <c r="E18" s="297">
        <v>0.36</v>
      </c>
      <c r="F18" s="297">
        <f t="shared" si="4"/>
        <v>6.38</v>
      </c>
      <c r="G18" s="297">
        <v>1.86</v>
      </c>
      <c r="H18" s="297">
        <v>7.72</v>
      </c>
      <c r="I18" s="297">
        <v>1.1599999999999999</v>
      </c>
      <c r="J18" s="297">
        <f>SUM(G18:I18)</f>
        <v>10.74</v>
      </c>
      <c r="K18" s="297">
        <v>3.16</v>
      </c>
      <c r="L18" s="298">
        <v>0.23928607594936707</v>
      </c>
      <c r="M18" s="298">
        <f t="shared" si="6"/>
        <v>3.86</v>
      </c>
      <c r="N18" s="297">
        <f t="shared" si="3"/>
        <v>20.28</v>
      </c>
      <c r="O18" s="435"/>
      <c r="P18" s="435"/>
      <c r="Q18" s="435"/>
      <c r="R18" s="435"/>
      <c r="S18" s="435"/>
      <c r="T18" s="435"/>
      <c r="U18" s="435"/>
      <c r="V18" s="435"/>
      <c r="W18" s="435"/>
    </row>
    <row r="19" spans="1:23" x14ac:dyDescent="0.2">
      <c r="B19" s="296" t="s">
        <v>444</v>
      </c>
      <c r="C19" s="297">
        <v>1.91</v>
      </c>
      <c r="D19" s="297">
        <v>1.26</v>
      </c>
      <c r="E19" s="297">
        <v>0.15</v>
      </c>
      <c r="F19" s="297">
        <f t="shared" si="4"/>
        <v>3.32</v>
      </c>
      <c r="G19" s="297">
        <v>1.04</v>
      </c>
      <c r="H19" s="297">
        <v>2.31</v>
      </c>
      <c r="I19" s="297">
        <v>0.35</v>
      </c>
      <c r="J19" s="297">
        <f t="shared" si="5"/>
        <v>3.7</v>
      </c>
      <c r="K19" s="297">
        <v>0.95</v>
      </c>
      <c r="L19" s="298">
        <v>6.3854430379746835E-2</v>
      </c>
      <c r="M19" s="298">
        <f t="shared" si="6"/>
        <v>1.155</v>
      </c>
      <c r="N19" s="297">
        <f t="shared" si="3"/>
        <v>7.9700000000000006</v>
      </c>
      <c r="O19" s="435"/>
      <c r="P19" s="435"/>
      <c r="Q19" s="435"/>
      <c r="R19" s="435"/>
      <c r="S19" s="435"/>
      <c r="T19" s="435"/>
      <c r="U19" s="435"/>
      <c r="V19" s="435"/>
      <c r="W19" s="435"/>
    </row>
    <row r="20" spans="1:23" x14ac:dyDescent="0.2">
      <c r="A20" s="300"/>
      <c r="B20" s="296" t="s">
        <v>445</v>
      </c>
      <c r="C20" s="297">
        <v>0.61</v>
      </c>
      <c r="D20" s="297">
        <v>0.49</v>
      </c>
      <c r="E20" s="297">
        <v>0.09</v>
      </c>
      <c r="F20" s="297">
        <f>SUM(C20:E20)</f>
        <v>1.1900000000000002</v>
      </c>
      <c r="G20" s="297">
        <v>0.28000000000000003</v>
      </c>
      <c r="H20" s="297">
        <v>2.5299999999999998</v>
      </c>
      <c r="I20" s="297">
        <v>0.38</v>
      </c>
      <c r="J20" s="297">
        <f t="shared" si="5"/>
        <v>3.1899999999999995</v>
      </c>
      <c r="K20" s="297">
        <v>1.1299999999999999</v>
      </c>
      <c r="L20" s="298">
        <v>6.9231645569620262E-2</v>
      </c>
      <c r="M20" s="298">
        <f t="shared" si="6"/>
        <v>1.2649999999999999</v>
      </c>
      <c r="N20" s="297">
        <f t="shared" si="3"/>
        <v>5.51</v>
      </c>
      <c r="O20" s="435"/>
      <c r="P20" s="435"/>
      <c r="Q20" s="435"/>
      <c r="R20" s="435"/>
      <c r="S20" s="435"/>
      <c r="T20" s="435"/>
      <c r="U20" s="435"/>
      <c r="V20" s="435"/>
      <c r="W20" s="435"/>
    </row>
    <row r="21" spans="1:23" x14ac:dyDescent="0.2">
      <c r="B21" s="296" t="s">
        <v>438</v>
      </c>
      <c r="C21" s="297">
        <v>0.44</v>
      </c>
      <c r="D21" s="297">
        <v>0.4</v>
      </c>
      <c r="E21" s="297">
        <v>0.06</v>
      </c>
      <c r="F21" s="297">
        <f t="shared" si="4"/>
        <v>0.90000000000000013</v>
      </c>
      <c r="G21" s="297">
        <v>0.24</v>
      </c>
      <c r="H21" s="297">
        <v>0.55000000000000004</v>
      </c>
      <c r="I21" s="297">
        <v>0.08</v>
      </c>
      <c r="J21" s="297">
        <f t="shared" si="5"/>
        <v>0.87</v>
      </c>
      <c r="K21" s="297">
        <v>0.43</v>
      </c>
      <c r="L21" s="298">
        <v>2.4869620253164557E-2</v>
      </c>
      <c r="M21" s="298">
        <f t="shared" si="6"/>
        <v>0.27500000000000002</v>
      </c>
      <c r="N21" s="297">
        <f t="shared" si="3"/>
        <v>2.2000000000000002</v>
      </c>
      <c r="O21" s="435"/>
      <c r="P21" s="435"/>
      <c r="Q21" s="435"/>
      <c r="R21" s="435"/>
      <c r="S21" s="435"/>
      <c r="T21" s="435"/>
      <c r="U21" s="435"/>
      <c r="V21" s="435"/>
      <c r="W21" s="435"/>
    </row>
    <row r="22" spans="1:23" x14ac:dyDescent="0.2">
      <c r="B22" s="296" t="s">
        <v>423</v>
      </c>
      <c r="C22" s="297">
        <v>0.6</v>
      </c>
      <c r="D22" s="297">
        <v>0.69</v>
      </c>
      <c r="E22" s="297">
        <v>1.04</v>
      </c>
      <c r="F22" s="297">
        <f t="shared" si="4"/>
        <v>2.33</v>
      </c>
      <c r="G22" s="297">
        <v>0.8</v>
      </c>
      <c r="H22" s="297">
        <v>1.75</v>
      </c>
      <c r="I22" s="297">
        <v>0.26</v>
      </c>
      <c r="J22" s="297">
        <f t="shared" si="5"/>
        <v>2.8099999999999996</v>
      </c>
      <c r="K22" s="297">
        <v>2.11</v>
      </c>
      <c r="L22" s="298">
        <v>5.2569000000000005E-2</v>
      </c>
      <c r="M22" s="298">
        <f>H22/Diesel</f>
        <v>0.875</v>
      </c>
      <c r="N22" s="297">
        <f t="shared" si="3"/>
        <v>7.25</v>
      </c>
      <c r="O22" s="435"/>
      <c r="P22" s="435"/>
      <c r="Q22" s="435"/>
      <c r="R22" s="435"/>
      <c r="S22" s="435"/>
      <c r="T22" s="435"/>
      <c r="U22" s="435"/>
      <c r="V22" s="435"/>
      <c r="W22" s="435"/>
    </row>
    <row r="23" spans="1:23" ht="12.75" x14ac:dyDescent="0.2">
      <c r="B23" s="419" t="s">
        <v>11</v>
      </c>
      <c r="C23" s="420">
        <f t="shared" ref="C23:N23" si="7">SUM(C6:C22)</f>
        <v>24.980000000000004</v>
      </c>
      <c r="D23" s="420">
        <f t="shared" si="7"/>
        <v>18.801000000000002</v>
      </c>
      <c r="E23" s="420">
        <f t="shared" si="7"/>
        <v>5.8429999999999991</v>
      </c>
      <c r="F23" s="420">
        <f t="shared" si="7"/>
        <v>49.623999999999988</v>
      </c>
      <c r="G23" s="420">
        <f t="shared" si="7"/>
        <v>13.727999999999998</v>
      </c>
      <c r="H23" s="420">
        <f t="shared" si="7"/>
        <v>34.55599999999999</v>
      </c>
      <c r="I23" s="420">
        <f t="shared" si="7"/>
        <v>5.1809999999999992</v>
      </c>
      <c r="J23" s="420">
        <f t="shared" si="7"/>
        <v>53.465000000000003</v>
      </c>
      <c r="K23" s="420">
        <f t="shared" si="7"/>
        <v>22.08</v>
      </c>
      <c r="L23" s="422">
        <f t="shared" si="7"/>
        <v>1.4178310253164557</v>
      </c>
      <c r="M23" s="422">
        <f t="shared" si="7"/>
        <v>16.885915492957746</v>
      </c>
      <c r="N23" s="420">
        <f t="shared" si="7"/>
        <v>125.16900000000001</v>
      </c>
      <c r="O23" s="435"/>
      <c r="P23" s="435"/>
      <c r="Q23" s="435"/>
      <c r="R23" s="435"/>
      <c r="S23" s="435"/>
      <c r="T23" s="435"/>
      <c r="U23" s="435"/>
      <c r="V23" s="435"/>
      <c r="W23" s="435"/>
    </row>
    <row r="24" spans="1:23" ht="37.5" customHeight="1" x14ac:dyDescent="0.2">
      <c r="B24" s="609" t="s">
        <v>304</v>
      </c>
      <c r="C24" s="609"/>
      <c r="D24" s="609"/>
      <c r="E24" s="609"/>
      <c r="F24" s="609"/>
      <c r="G24" s="609"/>
      <c r="H24" s="609"/>
      <c r="I24" s="609"/>
      <c r="J24" s="609"/>
      <c r="K24" s="609"/>
      <c r="L24" s="609"/>
      <c r="M24" s="609"/>
      <c r="N24" s="609"/>
    </row>
    <row r="26" spans="1:23" x14ac:dyDescent="0.2">
      <c r="B26" s="604" t="s">
        <v>12</v>
      </c>
      <c r="C26" s="604"/>
      <c r="D26" s="604"/>
    </row>
    <row r="27" spans="1:23" ht="21" customHeight="1" x14ac:dyDescent="0.2">
      <c r="B27" s="610" t="s">
        <v>13</v>
      </c>
      <c r="C27" s="611"/>
      <c r="D27" s="612"/>
      <c r="H27" s="304"/>
    </row>
    <row r="28" spans="1:23" ht="21" customHeight="1" x14ac:dyDescent="0.2">
      <c r="B28" s="586" t="s">
        <v>14</v>
      </c>
      <c r="C28" s="587"/>
      <c r="D28" s="588"/>
      <c r="H28" s="304"/>
    </row>
    <row r="29" spans="1:23" ht="21" customHeight="1" x14ac:dyDescent="0.2">
      <c r="B29" s="589" t="s">
        <v>553</v>
      </c>
      <c r="C29" s="590"/>
      <c r="D29" s="591"/>
      <c r="H29" s="304"/>
    </row>
    <row r="30" spans="1:23" ht="18" customHeight="1" x14ac:dyDescent="0.2">
      <c r="B30" s="586" t="s">
        <v>15</v>
      </c>
      <c r="C30" s="587"/>
      <c r="D30" s="588"/>
    </row>
    <row r="31" spans="1:23" ht="18" customHeight="1" x14ac:dyDescent="0.2">
      <c r="B31" s="586" t="s">
        <v>132</v>
      </c>
      <c r="C31" s="587"/>
      <c r="D31" s="588"/>
    </row>
    <row r="32" spans="1:23" ht="18" customHeight="1" x14ac:dyDescent="0.2">
      <c r="B32" s="586" t="s">
        <v>16</v>
      </c>
      <c r="C32" s="587"/>
      <c r="D32" s="588"/>
    </row>
    <row r="33" spans="2:14" ht="18" customHeight="1" x14ac:dyDescent="0.2">
      <c r="B33" s="586" t="s">
        <v>17</v>
      </c>
      <c r="C33" s="587"/>
      <c r="D33" s="588"/>
    </row>
    <row r="34" spans="2:14" ht="18" customHeight="1" x14ac:dyDescent="0.2">
      <c r="B34" s="454" t="s">
        <v>401</v>
      </c>
      <c r="C34" s="455"/>
      <c r="D34" s="456"/>
    </row>
    <row r="35" spans="2:14" ht="18" customHeight="1" x14ac:dyDescent="0.2">
      <c r="B35" s="586" t="s">
        <v>18</v>
      </c>
      <c r="C35" s="587"/>
      <c r="D35" s="588"/>
    </row>
    <row r="36" spans="2:14" ht="18" customHeight="1" x14ac:dyDescent="0.2">
      <c r="B36" s="589" t="s">
        <v>518</v>
      </c>
      <c r="C36" s="590"/>
      <c r="D36" s="591"/>
    </row>
    <row r="37" spans="2:14" ht="18" customHeight="1" x14ac:dyDescent="0.2">
      <c r="B37" s="586" t="s">
        <v>6</v>
      </c>
      <c r="C37" s="587"/>
      <c r="D37" s="588"/>
    </row>
    <row r="38" spans="2:14" ht="18" customHeight="1" x14ac:dyDescent="0.2">
      <c r="B38" s="305"/>
    </row>
    <row r="39" spans="2:14" s="81" customFormat="1" ht="15" x14ac:dyDescent="0.25">
      <c r="B39" s="592" t="s">
        <v>541</v>
      </c>
      <c r="C39" s="592"/>
      <c r="D39" s="592"/>
      <c r="E39" s="592"/>
      <c r="F39" s="592"/>
      <c r="G39" s="592"/>
      <c r="H39" s="592"/>
      <c r="I39" s="592"/>
      <c r="J39" s="592"/>
      <c r="K39" s="592"/>
      <c r="L39" s="592"/>
      <c r="M39" s="592"/>
      <c r="N39" s="592"/>
    </row>
    <row r="40" spans="2:14" ht="21" customHeight="1" x14ac:dyDescent="0.2">
      <c r="B40" s="283"/>
      <c r="C40" s="597" t="s">
        <v>48</v>
      </c>
      <c r="D40" s="598"/>
      <c r="E40" s="598"/>
      <c r="F40" s="599"/>
      <c r="G40" s="600" t="s">
        <v>110</v>
      </c>
      <c r="H40" s="601"/>
      <c r="I40" s="601"/>
      <c r="J40" s="602"/>
      <c r="K40" s="593" t="s">
        <v>45</v>
      </c>
      <c r="L40" s="594"/>
      <c r="M40" s="284" t="s">
        <v>2</v>
      </c>
      <c r="N40" s="595" t="s">
        <v>111</v>
      </c>
    </row>
    <row r="41" spans="2:14" ht="12.75" customHeight="1" x14ac:dyDescent="0.2">
      <c r="B41" s="285"/>
      <c r="C41" s="616" t="s">
        <v>317</v>
      </c>
      <c r="D41" s="618" t="s">
        <v>112</v>
      </c>
      <c r="E41" s="616" t="s">
        <v>351</v>
      </c>
      <c r="F41" s="616" t="s">
        <v>114</v>
      </c>
      <c r="G41" s="614" t="s">
        <v>104</v>
      </c>
      <c r="H41" s="614" t="s">
        <v>105</v>
      </c>
      <c r="I41" s="607" t="s">
        <v>336</v>
      </c>
      <c r="J41" s="614" t="s">
        <v>215</v>
      </c>
      <c r="K41" s="322"/>
      <c r="L41" s="322"/>
      <c r="M41" s="286"/>
      <c r="N41" s="596"/>
    </row>
    <row r="42" spans="2:14" ht="39" customHeight="1" x14ac:dyDescent="0.2">
      <c r="B42" s="289"/>
      <c r="C42" s="617"/>
      <c r="D42" s="619"/>
      <c r="E42" s="617"/>
      <c r="F42" s="617"/>
      <c r="G42" s="615"/>
      <c r="H42" s="615"/>
      <c r="I42" s="613"/>
      <c r="J42" s="615"/>
      <c r="K42" s="323" t="s">
        <v>227</v>
      </c>
      <c r="L42" s="323" t="s">
        <v>3</v>
      </c>
      <c r="M42" s="294" t="s">
        <v>4</v>
      </c>
      <c r="N42" s="295" t="s">
        <v>227</v>
      </c>
    </row>
    <row r="43" spans="2:14" x14ac:dyDescent="0.2">
      <c r="B43" s="296" t="s">
        <v>106</v>
      </c>
      <c r="C43" s="297">
        <f>$C$6</f>
        <v>0.85</v>
      </c>
      <c r="D43" s="297">
        <f>$D$6</f>
        <v>0.63</v>
      </c>
      <c r="E43" s="297">
        <f>$E$6</f>
        <v>0.64</v>
      </c>
      <c r="F43" s="297">
        <f>$F$6</f>
        <v>2.12</v>
      </c>
      <c r="G43" s="297">
        <f>$G$6</f>
        <v>0.24</v>
      </c>
      <c r="H43" s="297">
        <f>$H$6</f>
        <v>1.48</v>
      </c>
      <c r="I43" s="297">
        <f>$I$6</f>
        <v>0.22</v>
      </c>
      <c r="J43" s="297">
        <f>$J$6</f>
        <v>1.94</v>
      </c>
      <c r="K43" s="297">
        <f>$K$6</f>
        <v>2.4</v>
      </c>
      <c r="L43" s="298">
        <f>$L$6</f>
        <v>0.12</v>
      </c>
      <c r="M43" s="298">
        <f>$M$6</f>
        <v>0.41690140845070423</v>
      </c>
      <c r="N43" s="297">
        <f>$N$6</f>
        <v>6.46</v>
      </c>
    </row>
    <row r="44" spans="2:14" x14ac:dyDescent="0.2">
      <c r="B44" s="296" t="s">
        <v>423</v>
      </c>
      <c r="C44" s="297">
        <f>$C$22</f>
        <v>0.6</v>
      </c>
      <c r="D44" s="297">
        <f>$D$22</f>
        <v>0.69</v>
      </c>
      <c r="E44" s="297">
        <f>$E$22</f>
        <v>1.04</v>
      </c>
      <c r="F44" s="297">
        <f>$F$22</f>
        <v>2.33</v>
      </c>
      <c r="G44" s="297">
        <f>$G$22</f>
        <v>0.8</v>
      </c>
      <c r="H44" s="297">
        <f>$H$22</f>
        <v>1.75</v>
      </c>
      <c r="I44" s="297">
        <f>$I$22</f>
        <v>0.26</v>
      </c>
      <c r="J44" s="297">
        <f>$J$22</f>
        <v>2.8099999999999996</v>
      </c>
      <c r="K44" s="297">
        <f>$K$22</f>
        <v>2.11</v>
      </c>
      <c r="L44" s="298">
        <f>$L$22</f>
        <v>5.2569000000000005E-2</v>
      </c>
      <c r="M44" s="298">
        <f>$M$22</f>
        <v>0.875</v>
      </c>
      <c r="N44" s="297">
        <f>$N$22</f>
        <v>7.25</v>
      </c>
    </row>
    <row r="45" spans="2:14" x14ac:dyDescent="0.2">
      <c r="B45" s="296" t="s">
        <v>89</v>
      </c>
      <c r="C45" s="297">
        <f>$C$7</f>
        <v>0.48</v>
      </c>
      <c r="D45" s="297">
        <f>$D$7</f>
        <v>0.3</v>
      </c>
      <c r="E45" s="297">
        <f>$E$7</f>
        <v>0.44</v>
      </c>
      <c r="F45" s="297">
        <f>$F$7</f>
        <v>1.22</v>
      </c>
      <c r="G45" s="297">
        <f>$G$7</f>
        <v>0.4</v>
      </c>
      <c r="H45" s="297">
        <f>$H$7</f>
        <v>0.28999999999999998</v>
      </c>
      <c r="I45" s="297">
        <f>$I$7</f>
        <v>0.04</v>
      </c>
      <c r="J45" s="297">
        <f>$J$7</f>
        <v>0.73</v>
      </c>
      <c r="K45" s="297">
        <f>$K$7</f>
        <v>0.6</v>
      </c>
      <c r="L45" s="298">
        <f>$L$7</f>
        <v>0.03</v>
      </c>
      <c r="M45" s="298">
        <f>$M$7</f>
        <v>0.14499999999999999</v>
      </c>
      <c r="N45" s="297">
        <f>$N$7</f>
        <v>2.5499999999999998</v>
      </c>
    </row>
    <row r="46" spans="2:14" x14ac:dyDescent="0.2">
      <c r="B46" s="296" t="s">
        <v>90</v>
      </c>
      <c r="C46" s="297">
        <f>$C$9</f>
        <v>0.48</v>
      </c>
      <c r="D46" s="297">
        <f>$D$9</f>
        <v>0.24</v>
      </c>
      <c r="E46" s="297">
        <f>$E$9</f>
        <v>0.14000000000000001</v>
      </c>
      <c r="F46" s="297">
        <f>$F$9</f>
        <v>0.86</v>
      </c>
      <c r="G46" s="297">
        <f>$G$9</f>
        <v>0.16</v>
      </c>
      <c r="H46" s="297">
        <f>$H$9</f>
        <v>0.06</v>
      </c>
      <c r="I46" s="297">
        <f>$I$9</f>
        <v>0.01</v>
      </c>
      <c r="J46" s="297">
        <f>$J$9</f>
        <v>0.23</v>
      </c>
      <c r="K46" s="297">
        <f>$K$9</f>
        <v>0.16</v>
      </c>
      <c r="L46" s="298">
        <f>$L$9</f>
        <v>8.0000000000000002E-3</v>
      </c>
      <c r="M46" s="298">
        <f>$M$9</f>
        <v>1.6901408450704227E-2</v>
      </c>
      <c r="N46" s="297">
        <f>$N$9</f>
        <v>1.25</v>
      </c>
    </row>
    <row r="47" spans="2:14" x14ac:dyDescent="0.2">
      <c r="B47" s="296" t="s">
        <v>79</v>
      </c>
      <c r="C47" s="297">
        <f>$C$10</f>
        <v>0.2</v>
      </c>
      <c r="D47" s="297">
        <f>$D$10</f>
        <v>0.122</v>
      </c>
      <c r="E47" s="297">
        <f>$E$10</f>
        <v>2.1999999999999999E-2</v>
      </c>
      <c r="F47" s="297">
        <f>$F$10</f>
        <v>0.34400000000000003</v>
      </c>
      <c r="G47" s="297">
        <f>$G$10</f>
        <v>0.04</v>
      </c>
      <c r="H47" s="297">
        <f>$H$10</f>
        <v>0.25600000000000001</v>
      </c>
      <c r="I47" s="297">
        <f>$I$10</f>
        <v>3.7999999999999999E-2</v>
      </c>
      <c r="J47" s="297">
        <f>$J$10</f>
        <v>0.33399999999999996</v>
      </c>
      <c r="K47" s="297">
        <f>$K$10</f>
        <v>1.32</v>
      </c>
      <c r="L47" s="298">
        <f>$L$10</f>
        <v>6.6000000000000003E-2</v>
      </c>
      <c r="M47" s="298">
        <f>$M$10</f>
        <v>7.2112676056338032E-2</v>
      </c>
      <c r="N47" s="297">
        <f>$N$10</f>
        <v>1.998</v>
      </c>
    </row>
    <row r="48" spans="2:14" x14ac:dyDescent="0.2">
      <c r="B48" s="296" t="s">
        <v>107</v>
      </c>
      <c r="C48" s="297">
        <f>$C$11</f>
        <v>0.16700000000000001</v>
      </c>
      <c r="D48" s="297">
        <f>$D$11</f>
        <v>0.17599999999999999</v>
      </c>
      <c r="E48" s="297">
        <f>$E$11</f>
        <v>3.1E-2</v>
      </c>
      <c r="F48" s="297">
        <f>$F$11</f>
        <v>0.374</v>
      </c>
      <c r="G48" s="297">
        <f>$G$11</f>
        <v>0.08</v>
      </c>
      <c r="H48" s="297">
        <f>$H$11</f>
        <v>0.42</v>
      </c>
      <c r="I48" s="297">
        <f>$I$11</f>
        <v>6.3E-2</v>
      </c>
      <c r="J48" s="297">
        <f>$J$11</f>
        <v>0.56299999999999994</v>
      </c>
      <c r="K48" s="297">
        <f>$K$11</f>
        <v>0.88</v>
      </c>
      <c r="L48" s="298">
        <f>$L$11</f>
        <v>4.3999999999999997E-2</v>
      </c>
      <c r="M48" s="298">
        <f>$M$11</f>
        <v>0.21</v>
      </c>
      <c r="N48" s="297">
        <f>$N$11</f>
        <v>1.8170000000000002</v>
      </c>
    </row>
    <row r="49" spans="2:14" x14ac:dyDescent="0.2">
      <c r="B49" s="296" t="s">
        <v>28</v>
      </c>
      <c r="C49" s="297">
        <f>$C$13</f>
        <v>6.55</v>
      </c>
      <c r="D49" s="297">
        <f>$D$13</f>
        <v>4.42</v>
      </c>
      <c r="E49" s="297">
        <f>$E$13</f>
        <v>1.7</v>
      </c>
      <c r="F49" s="297">
        <f>$F$13</f>
        <v>12.669999999999998</v>
      </c>
      <c r="G49" s="297">
        <f>$G$13</f>
        <v>2.46</v>
      </c>
      <c r="H49" s="297">
        <f>$H$13</f>
        <v>2.86</v>
      </c>
      <c r="I49" s="297">
        <f>$I$13</f>
        <v>0.43</v>
      </c>
      <c r="J49" s="297">
        <f>$J$13</f>
        <v>5.75</v>
      </c>
      <c r="K49" s="297">
        <f>$K$13</f>
        <v>2.0499999999999998</v>
      </c>
      <c r="L49" s="298">
        <f>$L$13</f>
        <v>0.27625443037974684</v>
      </c>
      <c r="M49" s="298">
        <f>$M$13</f>
        <v>1.43</v>
      </c>
      <c r="N49" s="297">
        <f>$N$13</f>
        <v>20.47</v>
      </c>
    </row>
    <row r="50" spans="2:14" x14ac:dyDescent="0.2">
      <c r="B50" s="136" t="s">
        <v>300</v>
      </c>
      <c r="C50" s="307"/>
      <c r="D50" s="307"/>
      <c r="E50" s="307"/>
      <c r="F50" s="307"/>
      <c r="G50" s="307"/>
      <c r="H50" s="307"/>
      <c r="I50" s="307"/>
      <c r="J50" s="307"/>
      <c r="K50" s="307"/>
      <c r="L50" s="308"/>
      <c r="M50" s="308"/>
      <c r="N50" s="309"/>
    </row>
    <row r="51" spans="2:14" x14ac:dyDescent="0.2">
      <c r="B51" s="296" t="s">
        <v>19</v>
      </c>
      <c r="C51" s="297">
        <f>$C$16</f>
        <v>2.0099999999999998</v>
      </c>
      <c r="D51" s="297">
        <f>$D$16</f>
        <v>1.56</v>
      </c>
      <c r="E51" s="297">
        <f>$E$16</f>
        <v>0.19</v>
      </c>
      <c r="F51" s="297">
        <f>$F$16</f>
        <v>3.76</v>
      </c>
      <c r="G51" s="297">
        <f>$G$16</f>
        <v>0.96</v>
      </c>
      <c r="H51" s="297">
        <f>$H$16</f>
        <v>1.21</v>
      </c>
      <c r="I51" s="297">
        <f>$I$16</f>
        <v>0.18</v>
      </c>
      <c r="J51" s="297">
        <f>$J$16</f>
        <v>2.35</v>
      </c>
      <c r="K51" s="297">
        <f>$K$16</f>
        <v>0.85</v>
      </c>
      <c r="L51" s="298">
        <f>$L$16</f>
        <v>5.7132911392405061E-2</v>
      </c>
      <c r="M51" s="298">
        <f>$M$16</f>
        <v>0.60499999999999998</v>
      </c>
      <c r="N51" s="297">
        <f>$N$16</f>
        <v>6.96</v>
      </c>
    </row>
    <row r="52" spans="2:14" ht="12.95" customHeight="1" x14ac:dyDescent="0.2">
      <c r="B52" s="296" t="s">
        <v>424</v>
      </c>
      <c r="C52" s="297">
        <f>$C$20</f>
        <v>0.61</v>
      </c>
      <c r="D52" s="297">
        <f>$D$20</f>
        <v>0.49</v>
      </c>
      <c r="E52" s="297">
        <f>$E$20</f>
        <v>0.09</v>
      </c>
      <c r="F52" s="297">
        <f>$F$20</f>
        <v>1.1900000000000002</v>
      </c>
      <c r="G52" s="297">
        <f>$G$20</f>
        <v>0.28000000000000003</v>
      </c>
      <c r="H52" s="297">
        <f>$H$20</f>
        <v>2.5299999999999998</v>
      </c>
      <c r="I52" s="297">
        <f>$I$20</f>
        <v>0.38</v>
      </c>
      <c r="J52" s="297">
        <f>$J$20</f>
        <v>3.1899999999999995</v>
      </c>
      <c r="K52" s="297">
        <f>$K$20</f>
        <v>1.1299999999999999</v>
      </c>
      <c r="L52" s="298">
        <f>$L$20</f>
        <v>6.9231645569620262E-2</v>
      </c>
      <c r="M52" s="298">
        <f>$M$20</f>
        <v>1.2649999999999999</v>
      </c>
      <c r="N52" s="297">
        <f>$N$20</f>
        <v>5.51</v>
      </c>
    </row>
    <row r="53" spans="2:14" x14ac:dyDescent="0.2">
      <c r="B53" s="296" t="s">
        <v>108</v>
      </c>
      <c r="C53" s="297">
        <f>$C$12</f>
        <v>1.83</v>
      </c>
      <c r="D53" s="297">
        <f>$D$12</f>
        <v>1.21</v>
      </c>
      <c r="E53" s="297">
        <f>$E$12</f>
        <v>0.38</v>
      </c>
      <c r="F53" s="297">
        <f>$F$12</f>
        <v>3.42</v>
      </c>
      <c r="G53" s="297">
        <f>$G$12</f>
        <v>1.35</v>
      </c>
      <c r="H53" s="297">
        <f>$H$12</f>
        <v>3.45</v>
      </c>
      <c r="I53" s="297">
        <f>$I$12</f>
        <v>0.52</v>
      </c>
      <c r="J53" s="297">
        <f>$J$12</f>
        <v>5.32</v>
      </c>
      <c r="K53" s="297">
        <f>$K$12</f>
        <v>1.42</v>
      </c>
      <c r="L53" s="298">
        <f>$L$12</f>
        <v>9.6789873417721509E-2</v>
      </c>
      <c r="M53" s="298">
        <f>$M$12</f>
        <v>1.7250000000000001</v>
      </c>
      <c r="N53" s="297">
        <f>$N$12</f>
        <v>10.16</v>
      </c>
    </row>
    <row r="54" spans="2:14" x14ac:dyDescent="0.2">
      <c r="B54" s="296" t="s">
        <v>82</v>
      </c>
      <c r="C54" s="297">
        <f>$C$17*0.5</f>
        <v>1.4750000000000001</v>
      </c>
      <c r="D54" s="297">
        <f>$D$17*0.5</f>
        <v>1.115</v>
      </c>
      <c r="E54" s="297">
        <f>$E$17*0.5</f>
        <v>0.13500000000000001</v>
      </c>
      <c r="F54" s="297">
        <f>$F$17*0.5</f>
        <v>2.7249999999999996</v>
      </c>
      <c r="G54" s="297">
        <f>$G$17*0.5</f>
        <v>0.95499999999999996</v>
      </c>
      <c r="H54" s="297">
        <f>$H$17*0.5</f>
        <v>2.2400000000000002</v>
      </c>
      <c r="I54" s="297">
        <f>$I$17*0.5</f>
        <v>0.33500000000000002</v>
      </c>
      <c r="J54" s="297">
        <f>$J$17*0.5</f>
        <v>3.5300000000000002</v>
      </c>
      <c r="K54" s="297">
        <f>$K$17*0.5</f>
        <v>0.91500000000000004</v>
      </c>
      <c r="L54" s="298">
        <f>$L$17*0.5</f>
        <v>6.2510126582278489E-2</v>
      </c>
      <c r="M54" s="298">
        <f>$M$17*0.5</f>
        <v>1.1200000000000001</v>
      </c>
      <c r="N54" s="297">
        <f>$N$17*0.5</f>
        <v>7.17</v>
      </c>
    </row>
    <row r="55" spans="2:14" x14ac:dyDescent="0.2">
      <c r="B55" s="296" t="s">
        <v>52</v>
      </c>
      <c r="C55" s="297">
        <f>$C$18*0.5</f>
        <v>1.63</v>
      </c>
      <c r="D55" s="297">
        <f>$D$18*0.5</f>
        <v>1.38</v>
      </c>
      <c r="E55" s="297">
        <f>$E$18*0.5</f>
        <v>0.18</v>
      </c>
      <c r="F55" s="297">
        <f>$F$18*0.5</f>
        <v>3.19</v>
      </c>
      <c r="G55" s="297">
        <f>$G$18*0.5</f>
        <v>0.93</v>
      </c>
      <c r="H55" s="297">
        <f>$H$18*0.5</f>
        <v>3.86</v>
      </c>
      <c r="I55" s="297">
        <f>$I$18*0.5</f>
        <v>0.57999999999999996</v>
      </c>
      <c r="J55" s="297">
        <f>$J$18*0.5</f>
        <v>5.37</v>
      </c>
      <c r="K55" s="297">
        <f>$K$18*0.5</f>
        <v>1.58</v>
      </c>
      <c r="L55" s="298">
        <f>$L$18*0.5</f>
        <v>0.11964303797468354</v>
      </c>
      <c r="M55" s="298">
        <f>$M$18*0.5</f>
        <v>1.93</v>
      </c>
      <c r="N55" s="297">
        <f>$N$18*0.5</f>
        <v>10.14</v>
      </c>
    </row>
    <row r="56" spans="2:14" x14ac:dyDescent="0.2">
      <c r="B56" s="296" t="s">
        <v>448</v>
      </c>
      <c r="C56" s="297">
        <f>$C$8</f>
        <v>0.79300000000000004</v>
      </c>
      <c r="D56" s="297">
        <f>$D$8</f>
        <v>0.623</v>
      </c>
      <c r="E56" s="297">
        <f>$E$8</f>
        <v>0.09</v>
      </c>
      <c r="F56" s="297">
        <f>$F$8</f>
        <v>1.506</v>
      </c>
      <c r="G56" s="297">
        <f>$G$8</f>
        <v>0.41799999999999998</v>
      </c>
      <c r="H56" s="297">
        <f>$H$8</f>
        <v>1.4</v>
      </c>
      <c r="I56" s="297">
        <f>$I$8</f>
        <v>0.21</v>
      </c>
      <c r="J56" s="297">
        <f>$J$8</f>
        <v>2.028</v>
      </c>
      <c r="K56" s="297">
        <f>$K$8</f>
        <v>0.88</v>
      </c>
      <c r="L56" s="298">
        <f>$L$8</f>
        <v>4.3999999999999997E-2</v>
      </c>
      <c r="M56" s="298">
        <f>$M$8</f>
        <v>0.7</v>
      </c>
      <c r="N56" s="297">
        <f>$N$8</f>
        <v>4.4139999999999997</v>
      </c>
    </row>
    <row r="57" spans="2:14" x14ac:dyDescent="0.2">
      <c r="B57" s="423" t="s">
        <v>430</v>
      </c>
      <c r="C57" s="297"/>
      <c r="D57" s="297"/>
      <c r="E57" s="297"/>
      <c r="F57" s="297"/>
      <c r="G57" s="297"/>
      <c r="H57" s="297"/>
      <c r="I57" s="297"/>
      <c r="J57" s="297"/>
      <c r="K57" s="297"/>
      <c r="L57" s="298"/>
      <c r="M57" s="298"/>
      <c r="N57" s="297"/>
    </row>
    <row r="58" spans="2:14" x14ac:dyDescent="0.2">
      <c r="B58" s="436" t="s">
        <v>439</v>
      </c>
      <c r="C58" s="297">
        <f>$C$21</f>
        <v>0.44</v>
      </c>
      <c r="D58" s="297">
        <f>$D$21</f>
        <v>0.4</v>
      </c>
      <c r="E58" s="297">
        <f>$E$21</f>
        <v>0.06</v>
      </c>
      <c r="F58" s="297">
        <f>$F$21</f>
        <v>0.90000000000000013</v>
      </c>
      <c r="G58" s="297">
        <f>$G$21</f>
        <v>0.24</v>
      </c>
      <c r="H58" s="297">
        <f>$H$21</f>
        <v>0.55000000000000004</v>
      </c>
      <c r="I58" s="297">
        <f>$I$21</f>
        <v>0.08</v>
      </c>
      <c r="J58" s="297">
        <f>$J$21</f>
        <v>0.87</v>
      </c>
      <c r="K58" s="297">
        <f>$K$21</f>
        <v>0.43</v>
      </c>
      <c r="L58" s="298">
        <f>$L$21</f>
        <v>2.4869620253164557E-2</v>
      </c>
      <c r="M58" s="298">
        <f>$M$21</f>
        <v>0.27500000000000002</v>
      </c>
      <c r="N58" s="297">
        <f>$N$21</f>
        <v>2.2000000000000002</v>
      </c>
    </row>
    <row r="59" spans="2:14" x14ac:dyDescent="0.2">
      <c r="B59" s="301" t="s">
        <v>11</v>
      </c>
      <c r="C59" s="302">
        <f>SUM(C43:C58)</f>
        <v>18.114999999999998</v>
      </c>
      <c r="D59" s="302">
        <f t="shared" ref="D59:N59" si="8">SUM(D43:D58)</f>
        <v>13.356000000000002</v>
      </c>
      <c r="E59" s="302">
        <f t="shared" si="8"/>
        <v>5.137999999999999</v>
      </c>
      <c r="F59" s="302">
        <f t="shared" si="8"/>
        <v>36.608999999999995</v>
      </c>
      <c r="G59" s="302">
        <f t="shared" si="8"/>
        <v>9.3129999999999988</v>
      </c>
      <c r="H59" s="302">
        <f t="shared" si="8"/>
        <v>22.355999999999998</v>
      </c>
      <c r="I59" s="302">
        <f t="shared" si="8"/>
        <v>3.3460000000000001</v>
      </c>
      <c r="J59" s="302">
        <f t="shared" si="8"/>
        <v>35.014999999999993</v>
      </c>
      <c r="K59" s="302">
        <f t="shared" si="8"/>
        <v>16.725000000000001</v>
      </c>
      <c r="L59" s="421">
        <f t="shared" si="8"/>
        <v>1.0710006455696204</v>
      </c>
      <c r="M59" s="421">
        <f t="shared" si="8"/>
        <v>10.785915492957747</v>
      </c>
      <c r="N59" s="302">
        <f t="shared" si="8"/>
        <v>88.349000000000004</v>
      </c>
    </row>
    <row r="61" spans="2:14" s="81" customFormat="1" ht="15" x14ac:dyDescent="0.25">
      <c r="B61" s="592" t="s">
        <v>562</v>
      </c>
      <c r="C61" s="592"/>
      <c r="D61" s="592"/>
      <c r="E61" s="592"/>
      <c r="F61" s="592"/>
      <c r="G61" s="592"/>
      <c r="H61" s="592"/>
      <c r="I61" s="592"/>
      <c r="J61" s="592"/>
      <c r="K61" s="592"/>
      <c r="L61" s="592"/>
      <c r="M61" s="592"/>
      <c r="N61" s="592"/>
    </row>
    <row r="62" spans="2:14" ht="21" customHeight="1" x14ac:dyDescent="0.2">
      <c r="B62" s="283"/>
      <c r="C62" s="597" t="s">
        <v>48</v>
      </c>
      <c r="D62" s="598"/>
      <c r="E62" s="598"/>
      <c r="F62" s="599"/>
      <c r="G62" s="600" t="s">
        <v>110</v>
      </c>
      <c r="H62" s="601"/>
      <c r="I62" s="601"/>
      <c r="J62" s="602"/>
      <c r="K62" s="593" t="s">
        <v>45</v>
      </c>
      <c r="L62" s="594"/>
      <c r="M62" s="284" t="s">
        <v>2</v>
      </c>
      <c r="N62" s="595" t="s">
        <v>111</v>
      </c>
    </row>
    <row r="63" spans="2:14" ht="12.75" customHeight="1" x14ac:dyDescent="0.2">
      <c r="B63" s="285"/>
      <c r="C63" s="616" t="s">
        <v>317</v>
      </c>
      <c r="D63" s="618" t="s">
        <v>112</v>
      </c>
      <c r="E63" s="616" t="s">
        <v>351</v>
      </c>
      <c r="F63" s="616" t="s">
        <v>114</v>
      </c>
      <c r="G63" s="614" t="s">
        <v>104</v>
      </c>
      <c r="H63" s="614" t="s">
        <v>105</v>
      </c>
      <c r="I63" s="607" t="s">
        <v>336</v>
      </c>
      <c r="J63" s="614" t="s">
        <v>215</v>
      </c>
      <c r="K63" s="322"/>
      <c r="L63" s="322"/>
      <c r="M63" s="483"/>
      <c r="N63" s="596"/>
    </row>
    <row r="64" spans="2:14" ht="39" customHeight="1" x14ac:dyDescent="0.2">
      <c r="B64" s="289"/>
      <c r="C64" s="617"/>
      <c r="D64" s="619"/>
      <c r="E64" s="617"/>
      <c r="F64" s="617"/>
      <c r="G64" s="615"/>
      <c r="H64" s="615"/>
      <c r="I64" s="613"/>
      <c r="J64" s="615"/>
      <c r="K64" s="323" t="s">
        <v>227</v>
      </c>
      <c r="L64" s="323" t="s">
        <v>3</v>
      </c>
      <c r="M64" s="294" t="s">
        <v>4</v>
      </c>
      <c r="N64" s="295" t="s">
        <v>227</v>
      </c>
    </row>
    <row r="65" spans="2:14" x14ac:dyDescent="0.2">
      <c r="B65" s="296" t="s">
        <v>106</v>
      </c>
      <c r="C65" s="297">
        <f>$C$6</f>
        <v>0.85</v>
      </c>
      <c r="D65" s="297">
        <f>$D$6</f>
        <v>0.63</v>
      </c>
      <c r="E65" s="297">
        <f>$E$6</f>
        <v>0.64</v>
      </c>
      <c r="F65" s="297">
        <f>$F$6</f>
        <v>2.12</v>
      </c>
      <c r="G65" s="297">
        <f>$G$6</f>
        <v>0.24</v>
      </c>
      <c r="H65" s="297">
        <f>$H$6</f>
        <v>1.48</v>
      </c>
      <c r="I65" s="297">
        <f>$I$6</f>
        <v>0.22</v>
      </c>
      <c r="J65" s="297">
        <f>$J$6</f>
        <v>1.94</v>
      </c>
      <c r="K65" s="297">
        <f>$K$6</f>
        <v>2.4</v>
      </c>
      <c r="L65" s="298">
        <f>$L$6</f>
        <v>0.12</v>
      </c>
      <c r="M65" s="298">
        <f>$M$6</f>
        <v>0.41690140845070423</v>
      </c>
      <c r="N65" s="297">
        <f>$N$6</f>
        <v>6.46</v>
      </c>
    </row>
    <row r="66" spans="2:14" x14ac:dyDescent="0.2">
      <c r="B66" s="296" t="s">
        <v>423</v>
      </c>
      <c r="C66" s="297">
        <f>$C$22</f>
        <v>0.6</v>
      </c>
      <c r="D66" s="297">
        <f>$D$22</f>
        <v>0.69</v>
      </c>
      <c r="E66" s="297">
        <f>$E$22</f>
        <v>1.04</v>
      </c>
      <c r="F66" s="297">
        <f>$F$22</f>
        <v>2.33</v>
      </c>
      <c r="G66" s="297">
        <f>$G$22</f>
        <v>0.8</v>
      </c>
      <c r="H66" s="297">
        <f>$H$22</f>
        <v>1.75</v>
      </c>
      <c r="I66" s="297">
        <f>$I$22</f>
        <v>0.26</v>
      </c>
      <c r="J66" s="297">
        <f>$J$22</f>
        <v>2.8099999999999996</v>
      </c>
      <c r="K66" s="297">
        <f>$K$22</f>
        <v>2.11</v>
      </c>
      <c r="L66" s="298">
        <f>$L$22</f>
        <v>5.2569000000000005E-2</v>
      </c>
      <c r="M66" s="298">
        <f>$M$22</f>
        <v>0.875</v>
      </c>
      <c r="N66" s="297">
        <f>$N$22</f>
        <v>7.25</v>
      </c>
    </row>
    <row r="67" spans="2:14" x14ac:dyDescent="0.2">
      <c r="B67" s="296" t="s">
        <v>89</v>
      </c>
      <c r="C67" s="297">
        <f>$C$7</f>
        <v>0.48</v>
      </c>
      <c r="D67" s="297">
        <f>$D$7</f>
        <v>0.3</v>
      </c>
      <c r="E67" s="297">
        <f>$E$7</f>
        <v>0.44</v>
      </c>
      <c r="F67" s="297">
        <f>$F$7</f>
        <v>1.22</v>
      </c>
      <c r="G67" s="297">
        <f>$G$7</f>
        <v>0.4</v>
      </c>
      <c r="H67" s="297">
        <f>$H$7</f>
        <v>0.28999999999999998</v>
      </c>
      <c r="I67" s="297">
        <f>$I$7</f>
        <v>0.04</v>
      </c>
      <c r="J67" s="297">
        <f>$J$7</f>
        <v>0.73</v>
      </c>
      <c r="K67" s="297">
        <f>$K$7</f>
        <v>0.6</v>
      </c>
      <c r="L67" s="298">
        <f>$L$7</f>
        <v>0.03</v>
      </c>
      <c r="M67" s="298">
        <f>$M$7</f>
        <v>0.14499999999999999</v>
      </c>
      <c r="N67" s="297">
        <f>$N$7</f>
        <v>2.5499999999999998</v>
      </c>
    </row>
    <row r="68" spans="2:14" x14ac:dyDescent="0.2">
      <c r="B68" s="296" t="s">
        <v>90</v>
      </c>
      <c r="C68" s="297">
        <f>$C$9</f>
        <v>0.48</v>
      </c>
      <c r="D68" s="297">
        <f>$D$9</f>
        <v>0.24</v>
      </c>
      <c r="E68" s="297">
        <f>$E$9</f>
        <v>0.14000000000000001</v>
      </c>
      <c r="F68" s="297">
        <f>$F$9</f>
        <v>0.86</v>
      </c>
      <c r="G68" s="297">
        <f>$G$9</f>
        <v>0.16</v>
      </c>
      <c r="H68" s="297">
        <f>$H$9</f>
        <v>0.06</v>
      </c>
      <c r="I68" s="297">
        <f>$I$9</f>
        <v>0.01</v>
      </c>
      <c r="J68" s="297">
        <f>$J$9</f>
        <v>0.23</v>
      </c>
      <c r="K68" s="297">
        <f>$K$9</f>
        <v>0.16</v>
      </c>
      <c r="L68" s="298">
        <f>$L$9</f>
        <v>8.0000000000000002E-3</v>
      </c>
      <c r="M68" s="298">
        <f>$M$9</f>
        <v>1.6901408450704227E-2</v>
      </c>
      <c r="N68" s="297">
        <f>$N$9</f>
        <v>1.25</v>
      </c>
    </row>
    <row r="69" spans="2:14" x14ac:dyDescent="0.2">
      <c r="B69" s="296" t="s">
        <v>79</v>
      </c>
      <c r="C69" s="297">
        <f>$C$10</f>
        <v>0.2</v>
      </c>
      <c r="D69" s="297">
        <f>$D$10</f>
        <v>0.122</v>
      </c>
      <c r="E69" s="297">
        <f>$E$10</f>
        <v>2.1999999999999999E-2</v>
      </c>
      <c r="F69" s="297">
        <f>$F$10</f>
        <v>0.34400000000000003</v>
      </c>
      <c r="G69" s="297">
        <f>$G$10</f>
        <v>0.04</v>
      </c>
      <c r="H69" s="297">
        <f>$H$10</f>
        <v>0.25600000000000001</v>
      </c>
      <c r="I69" s="297">
        <f>$I$10</f>
        <v>3.7999999999999999E-2</v>
      </c>
      <c r="J69" s="297">
        <f>$J$10</f>
        <v>0.33399999999999996</v>
      </c>
      <c r="K69" s="297">
        <f>$K$10</f>
        <v>1.32</v>
      </c>
      <c r="L69" s="298">
        <f>$L$10</f>
        <v>6.6000000000000003E-2</v>
      </c>
      <c r="M69" s="298">
        <f>$M$10</f>
        <v>7.2112676056338032E-2</v>
      </c>
      <c r="N69" s="297">
        <f>$N$10</f>
        <v>1.998</v>
      </c>
    </row>
    <row r="70" spans="2:14" x14ac:dyDescent="0.2">
      <c r="B70" s="296" t="s">
        <v>107</v>
      </c>
      <c r="C70" s="297">
        <f>$C$11</f>
        <v>0.16700000000000001</v>
      </c>
      <c r="D70" s="297">
        <f>$D$11</f>
        <v>0.17599999999999999</v>
      </c>
      <c r="E70" s="297">
        <f>$E$11</f>
        <v>3.1E-2</v>
      </c>
      <c r="F70" s="297">
        <f>$F$11</f>
        <v>0.374</v>
      </c>
      <c r="G70" s="297">
        <f>$G$11</f>
        <v>0.08</v>
      </c>
      <c r="H70" s="297">
        <f>$H$11</f>
        <v>0.42</v>
      </c>
      <c r="I70" s="297">
        <f>$I$11</f>
        <v>6.3E-2</v>
      </c>
      <c r="J70" s="297">
        <f>$J$11</f>
        <v>0.56299999999999994</v>
      </c>
      <c r="K70" s="297">
        <f>$K$11</f>
        <v>0.88</v>
      </c>
      <c r="L70" s="298">
        <f>$L$11</f>
        <v>4.3999999999999997E-2</v>
      </c>
      <c r="M70" s="298">
        <f>$M$11</f>
        <v>0.21</v>
      </c>
      <c r="N70" s="297">
        <f>$N$11</f>
        <v>1.8170000000000002</v>
      </c>
    </row>
    <row r="71" spans="2:14" x14ac:dyDescent="0.2">
      <c r="B71" s="296" t="s">
        <v>28</v>
      </c>
      <c r="C71" s="297">
        <f>$C$13</f>
        <v>6.55</v>
      </c>
      <c r="D71" s="297">
        <f>$D$13</f>
        <v>4.42</v>
      </c>
      <c r="E71" s="297">
        <f>$E$13</f>
        <v>1.7</v>
      </c>
      <c r="F71" s="297">
        <f>$F$13</f>
        <v>12.669999999999998</v>
      </c>
      <c r="G71" s="297">
        <f>$G$13</f>
        <v>2.46</v>
      </c>
      <c r="H71" s="297">
        <f>$H$13</f>
        <v>2.86</v>
      </c>
      <c r="I71" s="297">
        <f>$I$13</f>
        <v>0.43</v>
      </c>
      <c r="J71" s="297">
        <f>$J$13</f>
        <v>5.75</v>
      </c>
      <c r="K71" s="297">
        <f>$K$13</f>
        <v>2.0499999999999998</v>
      </c>
      <c r="L71" s="298">
        <f>$L$13</f>
        <v>0.27625443037974684</v>
      </c>
      <c r="M71" s="298">
        <f>$M$13</f>
        <v>1.43</v>
      </c>
      <c r="N71" s="297">
        <f>$N$13</f>
        <v>20.47</v>
      </c>
    </row>
    <row r="72" spans="2:14" x14ac:dyDescent="0.2">
      <c r="B72" s="136" t="s">
        <v>300</v>
      </c>
      <c r="C72" s="307"/>
      <c r="D72" s="307"/>
      <c r="E72" s="307"/>
      <c r="F72" s="307"/>
      <c r="G72" s="307"/>
      <c r="H72" s="307"/>
      <c r="I72" s="307"/>
      <c r="J72" s="307"/>
      <c r="K72" s="307"/>
      <c r="L72" s="308"/>
      <c r="M72" s="308"/>
      <c r="N72" s="309"/>
    </row>
    <row r="73" spans="2:14" x14ac:dyDescent="0.2">
      <c r="B73" s="296" t="s">
        <v>19</v>
      </c>
      <c r="C73" s="297">
        <f>$C$16</f>
        <v>2.0099999999999998</v>
      </c>
      <c r="D73" s="297">
        <f>$D$16</f>
        <v>1.56</v>
      </c>
      <c r="E73" s="297">
        <f>$E$16</f>
        <v>0.19</v>
      </c>
      <c r="F73" s="297">
        <f>$F$16</f>
        <v>3.76</v>
      </c>
      <c r="G73" s="297">
        <f>$G$16</f>
        <v>0.96</v>
      </c>
      <c r="H73" s="297">
        <f>$H$16</f>
        <v>1.21</v>
      </c>
      <c r="I73" s="297">
        <f>$I$16</f>
        <v>0.18</v>
      </c>
      <c r="J73" s="297">
        <f>$J$16</f>
        <v>2.35</v>
      </c>
      <c r="K73" s="297">
        <f>$K$16</f>
        <v>0.85</v>
      </c>
      <c r="L73" s="298">
        <f>$L$16</f>
        <v>5.7132911392405061E-2</v>
      </c>
      <c r="M73" s="298">
        <f>$M$16</f>
        <v>0.60499999999999998</v>
      </c>
      <c r="N73" s="297">
        <f>$N$16</f>
        <v>6.96</v>
      </c>
    </row>
    <row r="74" spans="2:14" ht="12.95" customHeight="1" x14ac:dyDescent="0.2">
      <c r="B74" s="296" t="s">
        <v>424</v>
      </c>
      <c r="C74" s="297">
        <f>$C$20</f>
        <v>0.61</v>
      </c>
      <c r="D74" s="297">
        <f>$D$20</f>
        <v>0.49</v>
      </c>
      <c r="E74" s="297">
        <f>$E$20</f>
        <v>0.09</v>
      </c>
      <c r="F74" s="297">
        <f>$F$20</f>
        <v>1.1900000000000002</v>
      </c>
      <c r="G74" s="297">
        <f>$G$20</f>
        <v>0.28000000000000003</v>
      </c>
      <c r="H74" s="297">
        <f>$H$20</f>
        <v>2.5299999999999998</v>
      </c>
      <c r="I74" s="297">
        <f>$I$20</f>
        <v>0.38</v>
      </c>
      <c r="J74" s="297">
        <f>$J$20</f>
        <v>3.1899999999999995</v>
      </c>
      <c r="K74" s="297">
        <f>$K$20</f>
        <v>1.1299999999999999</v>
      </c>
      <c r="L74" s="298">
        <f>$L$20</f>
        <v>6.9231645569620262E-2</v>
      </c>
      <c r="M74" s="298">
        <f>$M$20</f>
        <v>1.2649999999999999</v>
      </c>
      <c r="N74" s="297">
        <f>$N$20</f>
        <v>5.51</v>
      </c>
    </row>
    <row r="75" spans="2:14" x14ac:dyDescent="0.2">
      <c r="B75" s="296" t="s">
        <v>108</v>
      </c>
      <c r="C75" s="297">
        <f>$C$12</f>
        <v>1.83</v>
      </c>
      <c r="D75" s="297">
        <f>$D$12</f>
        <v>1.21</v>
      </c>
      <c r="E75" s="297">
        <f>$E$12</f>
        <v>0.38</v>
      </c>
      <c r="F75" s="297">
        <f>$F$12</f>
        <v>3.42</v>
      </c>
      <c r="G75" s="297">
        <f>$G$12</f>
        <v>1.35</v>
      </c>
      <c r="H75" s="297">
        <f>$H$12</f>
        <v>3.45</v>
      </c>
      <c r="I75" s="297">
        <f>$I$12</f>
        <v>0.52</v>
      </c>
      <c r="J75" s="297">
        <f>$J$12</f>
        <v>5.32</v>
      </c>
      <c r="K75" s="297">
        <f>$K$12</f>
        <v>1.42</v>
      </c>
      <c r="L75" s="298">
        <f>$L$12</f>
        <v>9.6789873417721509E-2</v>
      </c>
      <c r="M75" s="298">
        <f>$M$12</f>
        <v>1.7250000000000001</v>
      </c>
      <c r="N75" s="297">
        <f>$N$12</f>
        <v>10.16</v>
      </c>
    </row>
    <row r="76" spans="2:14" x14ac:dyDescent="0.2">
      <c r="B76" s="296" t="s">
        <v>82</v>
      </c>
      <c r="C76" s="297">
        <f>$C$17*0.5</f>
        <v>1.4750000000000001</v>
      </c>
      <c r="D76" s="297">
        <f>$D$17*0.5</f>
        <v>1.115</v>
      </c>
      <c r="E76" s="297">
        <f>$E$17*0.5</f>
        <v>0.13500000000000001</v>
      </c>
      <c r="F76" s="297">
        <f>$F$17*0.5</f>
        <v>2.7249999999999996</v>
      </c>
      <c r="G76" s="297">
        <f>$G$17*0.5</f>
        <v>0.95499999999999996</v>
      </c>
      <c r="H76" s="297">
        <f>$H$17*0.5</f>
        <v>2.2400000000000002</v>
      </c>
      <c r="I76" s="297">
        <f>$I$17*0.5</f>
        <v>0.33500000000000002</v>
      </c>
      <c r="J76" s="297">
        <f>$J$17*0.5</f>
        <v>3.5300000000000002</v>
      </c>
      <c r="K76" s="297">
        <f>$K$17*0.5</f>
        <v>0.91500000000000004</v>
      </c>
      <c r="L76" s="298">
        <f>$L$17*0.5</f>
        <v>6.2510126582278489E-2</v>
      </c>
      <c r="M76" s="298">
        <f>$M$17*0.5</f>
        <v>1.1200000000000001</v>
      </c>
      <c r="N76" s="297">
        <f>$N$17*0.5</f>
        <v>7.17</v>
      </c>
    </row>
    <row r="77" spans="2:14" x14ac:dyDescent="0.2">
      <c r="B77" s="296" t="s">
        <v>52</v>
      </c>
      <c r="C77" s="297">
        <f>$C$18*0.5</f>
        <v>1.63</v>
      </c>
      <c r="D77" s="297">
        <f>$D$18*0.5</f>
        <v>1.38</v>
      </c>
      <c r="E77" s="297">
        <f>$E$18*0.5</f>
        <v>0.18</v>
      </c>
      <c r="F77" s="297">
        <f>$F$18*0.5</f>
        <v>3.19</v>
      </c>
      <c r="G77" s="297">
        <f>$G$18*0.5</f>
        <v>0.93</v>
      </c>
      <c r="H77" s="297">
        <f>$H$18*0.5</f>
        <v>3.86</v>
      </c>
      <c r="I77" s="297">
        <f>$I$18*0.5</f>
        <v>0.57999999999999996</v>
      </c>
      <c r="J77" s="297">
        <f>$J$18*0.5</f>
        <v>5.37</v>
      </c>
      <c r="K77" s="297">
        <f>$K$18*0.5</f>
        <v>1.58</v>
      </c>
      <c r="L77" s="298">
        <f>$L$18*0.5</f>
        <v>0.11964303797468354</v>
      </c>
      <c r="M77" s="298">
        <f>$M$18*0.5</f>
        <v>1.93</v>
      </c>
      <c r="N77" s="297">
        <f>$N$18*0.5</f>
        <v>10.14</v>
      </c>
    </row>
    <row r="78" spans="2:14" x14ac:dyDescent="0.2">
      <c r="B78" s="296" t="s">
        <v>448</v>
      </c>
      <c r="C78" s="297">
        <f>$C$8</f>
        <v>0.79300000000000004</v>
      </c>
      <c r="D78" s="297">
        <f>$D$8</f>
        <v>0.623</v>
      </c>
      <c r="E78" s="297">
        <f>$E$8</f>
        <v>0.09</v>
      </c>
      <c r="F78" s="297">
        <f>$F$8</f>
        <v>1.506</v>
      </c>
      <c r="G78" s="297">
        <f>$G$8</f>
        <v>0.41799999999999998</v>
      </c>
      <c r="H78" s="297">
        <f>$H$8</f>
        <v>1.4</v>
      </c>
      <c r="I78" s="297">
        <f>$I$8</f>
        <v>0.21</v>
      </c>
      <c r="J78" s="297">
        <f>$J$8</f>
        <v>2.028</v>
      </c>
      <c r="K78" s="297">
        <f>$K$8</f>
        <v>0.88</v>
      </c>
      <c r="L78" s="298">
        <f>$L$8</f>
        <v>4.3999999999999997E-2</v>
      </c>
      <c r="M78" s="298">
        <f>$M$8</f>
        <v>0.7</v>
      </c>
      <c r="N78" s="297">
        <f>$N$8</f>
        <v>4.4139999999999997</v>
      </c>
    </row>
    <row r="79" spans="2:14" x14ac:dyDescent="0.2">
      <c r="B79" s="423" t="s">
        <v>430</v>
      </c>
      <c r="C79" s="297"/>
      <c r="D79" s="297"/>
      <c r="E79" s="297"/>
      <c r="F79" s="297"/>
      <c r="G79" s="297"/>
      <c r="H79" s="297"/>
      <c r="I79" s="297"/>
      <c r="J79" s="297"/>
      <c r="K79" s="297"/>
      <c r="L79" s="298"/>
      <c r="M79" s="298"/>
      <c r="N79" s="297"/>
    </row>
    <row r="80" spans="2:14" x14ac:dyDescent="0.2">
      <c r="B80" s="436" t="s">
        <v>439</v>
      </c>
      <c r="C80" s="297">
        <f>$C$21</f>
        <v>0.44</v>
      </c>
      <c r="D80" s="297">
        <f>$D$21</f>
        <v>0.4</v>
      </c>
      <c r="E80" s="297">
        <f>$E$21</f>
        <v>0.06</v>
      </c>
      <c r="F80" s="297">
        <f>$F$21</f>
        <v>0.90000000000000013</v>
      </c>
      <c r="G80" s="297">
        <f>$G$21</f>
        <v>0.24</v>
      </c>
      <c r="H80" s="297">
        <f>$H$21</f>
        <v>0.55000000000000004</v>
      </c>
      <c r="I80" s="297">
        <f>$I$21</f>
        <v>0.08</v>
      </c>
      <c r="J80" s="297">
        <f>$J$21</f>
        <v>0.87</v>
      </c>
      <c r="K80" s="297">
        <f>$K$21</f>
        <v>0.43</v>
      </c>
      <c r="L80" s="298">
        <f>$L$21</f>
        <v>2.4869620253164557E-2</v>
      </c>
      <c r="M80" s="298">
        <f>$M$21</f>
        <v>0.27500000000000002</v>
      </c>
      <c r="N80" s="297">
        <f>$N$21</f>
        <v>2.2000000000000002</v>
      </c>
    </row>
    <row r="81" spans="2:14" x14ac:dyDescent="0.2">
      <c r="B81" s="301" t="s">
        <v>11</v>
      </c>
      <c r="C81" s="302">
        <f>SUM(C65:C80)</f>
        <v>18.114999999999998</v>
      </c>
      <c r="D81" s="302">
        <f t="shared" ref="D81:N81" si="9">SUM(D65:D80)</f>
        <v>13.356000000000002</v>
      </c>
      <c r="E81" s="302">
        <f t="shared" si="9"/>
        <v>5.137999999999999</v>
      </c>
      <c r="F81" s="302">
        <f t="shared" si="9"/>
        <v>36.608999999999995</v>
      </c>
      <c r="G81" s="302">
        <f t="shared" si="9"/>
        <v>9.3129999999999988</v>
      </c>
      <c r="H81" s="302">
        <f t="shared" si="9"/>
        <v>22.355999999999998</v>
      </c>
      <c r="I81" s="302">
        <f t="shared" si="9"/>
        <v>3.3460000000000001</v>
      </c>
      <c r="J81" s="302">
        <f t="shared" si="9"/>
        <v>35.014999999999993</v>
      </c>
      <c r="K81" s="302">
        <f t="shared" si="9"/>
        <v>16.725000000000001</v>
      </c>
      <c r="L81" s="421">
        <f t="shared" si="9"/>
        <v>1.0710006455696204</v>
      </c>
      <c r="M81" s="421">
        <f t="shared" si="9"/>
        <v>10.785915492957747</v>
      </c>
      <c r="N81" s="302">
        <f t="shared" si="9"/>
        <v>88.349000000000004</v>
      </c>
    </row>
    <row r="83" spans="2:14" ht="15" x14ac:dyDescent="0.25">
      <c r="B83" s="592" t="s">
        <v>554</v>
      </c>
      <c r="C83" s="592"/>
      <c r="D83" s="592"/>
      <c r="E83" s="592"/>
      <c r="F83" s="592"/>
      <c r="G83" s="592"/>
      <c r="H83" s="592"/>
      <c r="I83" s="592"/>
      <c r="J83" s="592"/>
      <c r="K83" s="592"/>
      <c r="L83" s="592"/>
      <c r="M83" s="592"/>
      <c r="N83" s="592"/>
    </row>
    <row r="84" spans="2:14" ht="15" customHeight="1" x14ac:dyDescent="0.2">
      <c r="B84" s="283"/>
      <c r="C84" s="597" t="s">
        <v>48</v>
      </c>
      <c r="D84" s="598"/>
      <c r="E84" s="598"/>
      <c r="F84" s="599"/>
      <c r="G84" s="600" t="s">
        <v>110</v>
      </c>
      <c r="H84" s="601"/>
      <c r="I84" s="601"/>
      <c r="J84" s="602"/>
      <c r="K84" s="593" t="s">
        <v>45</v>
      </c>
      <c r="L84" s="594"/>
      <c r="M84" s="284" t="s">
        <v>2</v>
      </c>
      <c r="N84" s="595" t="s">
        <v>111</v>
      </c>
    </row>
    <row r="85" spans="2:14" ht="37.5" customHeight="1" x14ac:dyDescent="0.2">
      <c r="B85" s="285"/>
      <c r="C85" s="286" t="s">
        <v>317</v>
      </c>
      <c r="D85" s="306" t="s">
        <v>112</v>
      </c>
      <c r="E85" s="616" t="s">
        <v>351</v>
      </c>
      <c r="F85" s="286" t="s">
        <v>114</v>
      </c>
      <c r="G85" s="287" t="s">
        <v>104</v>
      </c>
      <c r="H85" s="287" t="s">
        <v>105</v>
      </c>
      <c r="I85" s="310" t="s">
        <v>336</v>
      </c>
      <c r="J85" s="287" t="s">
        <v>215</v>
      </c>
      <c r="K85" s="322"/>
      <c r="L85" s="322"/>
      <c r="M85" s="286"/>
      <c r="N85" s="596"/>
    </row>
    <row r="86" spans="2:14" ht="12.75" customHeight="1" x14ac:dyDescent="0.2">
      <c r="B86" s="289"/>
      <c r="C86" s="289"/>
      <c r="D86" s="289"/>
      <c r="E86" s="617"/>
      <c r="F86" s="291"/>
      <c r="G86" s="292"/>
      <c r="H86" s="292"/>
      <c r="I86" s="292"/>
      <c r="J86" s="292"/>
      <c r="K86" s="323" t="s">
        <v>227</v>
      </c>
      <c r="L86" s="323" t="s">
        <v>3</v>
      </c>
      <c r="M86" s="294" t="s">
        <v>4</v>
      </c>
      <c r="N86" s="295" t="s">
        <v>227</v>
      </c>
    </row>
    <row r="87" spans="2:14" ht="12.95" customHeight="1" x14ac:dyDescent="0.2">
      <c r="B87" s="296" t="s">
        <v>106</v>
      </c>
      <c r="C87" s="297">
        <f>$C$6</f>
        <v>0.85</v>
      </c>
      <c r="D87" s="297">
        <f>$D$6</f>
        <v>0.63</v>
      </c>
      <c r="E87" s="297">
        <f>$E$6</f>
        <v>0.64</v>
      </c>
      <c r="F87" s="297">
        <f>$F$6</f>
        <v>2.12</v>
      </c>
      <c r="G87" s="297">
        <f>$G$6</f>
        <v>0.24</v>
      </c>
      <c r="H87" s="297">
        <f>$H$6</f>
        <v>1.48</v>
      </c>
      <c r="I87" s="297">
        <f>$I$6</f>
        <v>0.22</v>
      </c>
      <c r="J87" s="297">
        <f>$J$6</f>
        <v>1.94</v>
      </c>
      <c r="K87" s="297">
        <f>$K$6</f>
        <v>2.4</v>
      </c>
      <c r="L87" s="298">
        <f>$L$6</f>
        <v>0.12</v>
      </c>
      <c r="M87" s="298">
        <f>$M$6</f>
        <v>0.41690140845070423</v>
      </c>
      <c r="N87" s="297">
        <f>$N$6</f>
        <v>6.46</v>
      </c>
    </row>
    <row r="88" spans="2:14" ht="12.95" customHeight="1" x14ac:dyDescent="0.2">
      <c r="B88" s="296" t="s">
        <v>423</v>
      </c>
      <c r="C88" s="297">
        <f>$C$22</f>
        <v>0.6</v>
      </c>
      <c r="D88" s="297">
        <f>$D$22</f>
        <v>0.69</v>
      </c>
      <c r="E88" s="297">
        <f>$E$22</f>
        <v>1.04</v>
      </c>
      <c r="F88" s="297">
        <f>$F$22</f>
        <v>2.33</v>
      </c>
      <c r="G88" s="297">
        <f>$G$22</f>
        <v>0.8</v>
      </c>
      <c r="H88" s="297">
        <f>$H$22</f>
        <v>1.75</v>
      </c>
      <c r="I88" s="297">
        <f>$I$22</f>
        <v>0.26</v>
      </c>
      <c r="J88" s="297">
        <f>$J$22</f>
        <v>2.8099999999999996</v>
      </c>
      <c r="K88" s="297">
        <f>$K$22</f>
        <v>2.11</v>
      </c>
      <c r="L88" s="298">
        <f>$L$22</f>
        <v>5.2569000000000005E-2</v>
      </c>
      <c r="M88" s="298">
        <f>$M$22</f>
        <v>0.875</v>
      </c>
      <c r="N88" s="297">
        <f>$N$22</f>
        <v>7.25</v>
      </c>
    </row>
    <row r="89" spans="2:14" x14ac:dyDescent="0.2">
      <c r="B89" s="296" t="s">
        <v>89</v>
      </c>
      <c r="C89" s="297">
        <f>$C$7</f>
        <v>0.48</v>
      </c>
      <c r="D89" s="297">
        <f>$D$7</f>
        <v>0.3</v>
      </c>
      <c r="E89" s="297">
        <f>$E$7</f>
        <v>0.44</v>
      </c>
      <c r="F89" s="297">
        <f>$F$7</f>
        <v>1.22</v>
      </c>
      <c r="G89" s="297">
        <f>$G$7</f>
        <v>0.4</v>
      </c>
      <c r="H89" s="297">
        <f>$H$7</f>
        <v>0.28999999999999998</v>
      </c>
      <c r="I89" s="297">
        <f>$I$7</f>
        <v>0.04</v>
      </c>
      <c r="J89" s="297">
        <f>$J$7</f>
        <v>0.73</v>
      </c>
      <c r="K89" s="297">
        <f>$K$7</f>
        <v>0.6</v>
      </c>
      <c r="L89" s="298">
        <f>$L$7</f>
        <v>0.03</v>
      </c>
      <c r="M89" s="298">
        <f>$M$7</f>
        <v>0.14499999999999999</v>
      </c>
      <c r="N89" s="297">
        <f>$N$7</f>
        <v>2.5499999999999998</v>
      </c>
    </row>
    <row r="90" spans="2:14" x14ac:dyDescent="0.2">
      <c r="B90" s="296" t="s">
        <v>90</v>
      </c>
      <c r="C90" s="297">
        <f>$C$9</f>
        <v>0.48</v>
      </c>
      <c r="D90" s="297">
        <f>$D$9</f>
        <v>0.24</v>
      </c>
      <c r="E90" s="297">
        <f>$E$9</f>
        <v>0.14000000000000001</v>
      </c>
      <c r="F90" s="297">
        <f>$F$9</f>
        <v>0.86</v>
      </c>
      <c r="G90" s="297">
        <f>$G$9</f>
        <v>0.16</v>
      </c>
      <c r="H90" s="297">
        <f>$H$9</f>
        <v>0.06</v>
      </c>
      <c r="I90" s="297">
        <f>$I$9</f>
        <v>0.01</v>
      </c>
      <c r="J90" s="297">
        <f>$J$9</f>
        <v>0.23</v>
      </c>
      <c r="K90" s="297">
        <f>$K$9</f>
        <v>0.16</v>
      </c>
      <c r="L90" s="298">
        <f>$L$9</f>
        <v>8.0000000000000002E-3</v>
      </c>
      <c r="M90" s="298">
        <f>$M$9</f>
        <v>1.6901408450704227E-2</v>
      </c>
      <c r="N90" s="297">
        <f>$N$9</f>
        <v>1.25</v>
      </c>
    </row>
    <row r="91" spans="2:14" x14ac:dyDescent="0.2">
      <c r="B91" s="296" t="s">
        <v>79</v>
      </c>
      <c r="C91" s="297">
        <f>$C$10</f>
        <v>0.2</v>
      </c>
      <c r="D91" s="297">
        <f>$D$10</f>
        <v>0.122</v>
      </c>
      <c r="E91" s="297">
        <f>$E$10</f>
        <v>2.1999999999999999E-2</v>
      </c>
      <c r="F91" s="297">
        <f>$F$10</f>
        <v>0.34400000000000003</v>
      </c>
      <c r="G91" s="297">
        <f>$G$10</f>
        <v>0.04</v>
      </c>
      <c r="H91" s="297">
        <f>$H$10</f>
        <v>0.25600000000000001</v>
      </c>
      <c r="I91" s="297">
        <f>$I$10</f>
        <v>3.7999999999999999E-2</v>
      </c>
      <c r="J91" s="297">
        <f>$J$10</f>
        <v>0.33399999999999996</v>
      </c>
      <c r="K91" s="297">
        <f>$K$10</f>
        <v>1.32</v>
      </c>
      <c r="L91" s="298">
        <f>$L$10</f>
        <v>6.6000000000000003E-2</v>
      </c>
      <c r="M91" s="298">
        <f>$M$10</f>
        <v>7.2112676056338032E-2</v>
      </c>
      <c r="N91" s="297">
        <f>$N$10</f>
        <v>1.998</v>
      </c>
    </row>
    <row r="92" spans="2:14" x14ac:dyDescent="0.2">
      <c r="B92" s="296" t="s">
        <v>107</v>
      </c>
      <c r="C92" s="297">
        <f>$C$11</f>
        <v>0.16700000000000001</v>
      </c>
      <c r="D92" s="297">
        <f>$D$11</f>
        <v>0.17599999999999999</v>
      </c>
      <c r="E92" s="297">
        <f>$E$11</f>
        <v>3.1E-2</v>
      </c>
      <c r="F92" s="297">
        <f>$F$11</f>
        <v>0.374</v>
      </c>
      <c r="G92" s="297">
        <f>$G$11</f>
        <v>0.08</v>
      </c>
      <c r="H92" s="297">
        <f>$H$11</f>
        <v>0.42</v>
      </c>
      <c r="I92" s="297">
        <f>$I$11</f>
        <v>6.3E-2</v>
      </c>
      <c r="J92" s="297">
        <f>$J$11</f>
        <v>0.56299999999999994</v>
      </c>
      <c r="K92" s="297">
        <f>$K$11</f>
        <v>0.88</v>
      </c>
      <c r="L92" s="298">
        <f>$L$11</f>
        <v>4.3999999999999997E-2</v>
      </c>
      <c r="M92" s="298">
        <f>$M$11</f>
        <v>0.21</v>
      </c>
      <c r="N92" s="297">
        <f>$N$11</f>
        <v>1.8170000000000002</v>
      </c>
    </row>
    <row r="93" spans="2:14" x14ac:dyDescent="0.2">
      <c r="B93" s="296" t="s">
        <v>28</v>
      </c>
      <c r="C93" s="297">
        <f>$C$13</f>
        <v>6.55</v>
      </c>
      <c r="D93" s="297">
        <f>$D$13</f>
        <v>4.42</v>
      </c>
      <c r="E93" s="297">
        <f>$E$13</f>
        <v>1.7</v>
      </c>
      <c r="F93" s="297">
        <f>$F$13</f>
        <v>12.669999999999998</v>
      </c>
      <c r="G93" s="297">
        <f>$G$13</f>
        <v>2.46</v>
      </c>
      <c r="H93" s="297">
        <f>$H$13</f>
        <v>2.86</v>
      </c>
      <c r="I93" s="297">
        <f>$I$13</f>
        <v>0.43</v>
      </c>
      <c r="J93" s="297">
        <f>$J$13</f>
        <v>5.75</v>
      </c>
      <c r="K93" s="297">
        <f>$K$13</f>
        <v>2.0499999999999998</v>
      </c>
      <c r="L93" s="298">
        <f>$L$13</f>
        <v>0.27625443037974684</v>
      </c>
      <c r="M93" s="298">
        <f>$M$13</f>
        <v>1.43</v>
      </c>
      <c r="N93" s="297">
        <f>$N$13</f>
        <v>20.47</v>
      </c>
    </row>
    <row r="94" spans="2:14" x14ac:dyDescent="0.2">
      <c r="B94" s="136" t="s">
        <v>300</v>
      </c>
      <c r="C94" s="307"/>
      <c r="D94" s="307"/>
      <c r="E94" s="307"/>
      <c r="F94" s="307"/>
      <c r="G94" s="307"/>
      <c r="H94" s="307"/>
      <c r="I94" s="307"/>
      <c r="J94" s="307"/>
      <c r="K94" s="307"/>
      <c r="L94" s="308"/>
      <c r="M94" s="308"/>
      <c r="N94" s="309"/>
    </row>
    <row r="95" spans="2:14" x14ac:dyDescent="0.2">
      <c r="B95" s="296" t="s">
        <v>108</v>
      </c>
      <c r="C95" s="297">
        <f>$C$12</f>
        <v>1.83</v>
      </c>
      <c r="D95" s="297">
        <f>$D$12</f>
        <v>1.21</v>
      </c>
      <c r="E95" s="297">
        <f>$E$12</f>
        <v>0.38</v>
      </c>
      <c r="F95" s="297">
        <f>$F$12</f>
        <v>3.42</v>
      </c>
      <c r="G95" s="297">
        <f>$G$12</f>
        <v>1.35</v>
      </c>
      <c r="H95" s="297">
        <f>$H$12</f>
        <v>3.45</v>
      </c>
      <c r="I95" s="297">
        <f>$I$12</f>
        <v>0.52</v>
      </c>
      <c r="J95" s="297">
        <f>$J$12</f>
        <v>5.32</v>
      </c>
      <c r="K95" s="297">
        <f>$K$12</f>
        <v>1.42</v>
      </c>
      <c r="L95" s="298">
        <f>$L$12</f>
        <v>9.6789873417721509E-2</v>
      </c>
      <c r="M95" s="298">
        <f>$M$12</f>
        <v>1.7250000000000001</v>
      </c>
      <c r="N95" s="297">
        <f>$N$12</f>
        <v>10.16</v>
      </c>
    </row>
    <row r="96" spans="2:14" x14ac:dyDescent="0.2">
      <c r="B96" s="296" t="s">
        <v>109</v>
      </c>
      <c r="C96" s="297">
        <f>$C$15</f>
        <v>0.89</v>
      </c>
      <c r="D96" s="297">
        <f>$D$15</f>
        <v>0.88</v>
      </c>
      <c r="E96" s="297">
        <f>$E$15</f>
        <v>0.13</v>
      </c>
      <c r="F96" s="297">
        <f>$F$15</f>
        <v>1.9</v>
      </c>
      <c r="G96" s="297">
        <f>$G$15</f>
        <v>0.63</v>
      </c>
      <c r="H96" s="297">
        <f>$H$15</f>
        <v>2.94</v>
      </c>
      <c r="I96" s="297">
        <f>$I$15</f>
        <v>0.44</v>
      </c>
      <c r="J96" s="297">
        <f>$J$15</f>
        <v>4.01</v>
      </c>
      <c r="K96" s="297">
        <f>$K$15</f>
        <v>1.32</v>
      </c>
      <c r="L96" s="298">
        <f>$L$15</f>
        <v>6.6543037974683555E-2</v>
      </c>
      <c r="M96" s="298">
        <f>$M$15</f>
        <v>1.47</v>
      </c>
      <c r="N96" s="297">
        <f>$N$15</f>
        <v>7.23</v>
      </c>
    </row>
    <row r="97" spans="2:14" x14ac:dyDescent="0.2">
      <c r="B97" s="296" t="s">
        <v>109</v>
      </c>
      <c r="C97" s="297">
        <f>$C$15</f>
        <v>0.89</v>
      </c>
      <c r="D97" s="297">
        <f>$D$15</f>
        <v>0.88</v>
      </c>
      <c r="E97" s="297">
        <f>$E$15</f>
        <v>0.13</v>
      </c>
      <c r="F97" s="297">
        <f>$F$15</f>
        <v>1.9</v>
      </c>
      <c r="G97" s="297">
        <f>$G$15</f>
        <v>0.63</v>
      </c>
      <c r="H97" s="297">
        <f>$H$15</f>
        <v>2.94</v>
      </c>
      <c r="I97" s="297">
        <f>$I$15</f>
        <v>0.44</v>
      </c>
      <c r="J97" s="297">
        <f>$J$15</f>
        <v>4.01</v>
      </c>
      <c r="K97" s="297">
        <f>$K$15</f>
        <v>1.32</v>
      </c>
      <c r="L97" s="298">
        <f>$L$15</f>
        <v>6.6543037974683555E-2</v>
      </c>
      <c r="M97" s="298">
        <f>$M$15</f>
        <v>1.47</v>
      </c>
      <c r="N97" s="297">
        <f>$N$15</f>
        <v>7.23</v>
      </c>
    </row>
    <row r="98" spans="2:14" x14ac:dyDescent="0.2">
      <c r="B98" s="296" t="s">
        <v>424</v>
      </c>
      <c r="C98" s="297">
        <f>$C$20</f>
        <v>0.61</v>
      </c>
      <c r="D98" s="297">
        <f>$D$20</f>
        <v>0.49</v>
      </c>
      <c r="E98" s="297">
        <f>$E$20</f>
        <v>0.09</v>
      </c>
      <c r="F98" s="297">
        <f>$F$20</f>
        <v>1.1900000000000002</v>
      </c>
      <c r="G98" s="297">
        <f>$G$20</f>
        <v>0.28000000000000003</v>
      </c>
      <c r="H98" s="297">
        <f>$H$20</f>
        <v>2.5299999999999998</v>
      </c>
      <c r="I98" s="297">
        <f>$I$20</f>
        <v>0.38</v>
      </c>
      <c r="J98" s="297">
        <f>$J$20</f>
        <v>3.1899999999999995</v>
      </c>
      <c r="K98" s="297">
        <f>$K$20</f>
        <v>1.1299999999999999</v>
      </c>
      <c r="L98" s="298">
        <f>$L$20</f>
        <v>6.9231645569620262E-2</v>
      </c>
      <c r="M98" s="298">
        <f>$M$20</f>
        <v>1.2649999999999999</v>
      </c>
      <c r="N98" s="297">
        <f>$N$20</f>
        <v>5.51</v>
      </c>
    </row>
    <row r="99" spans="2:14" x14ac:dyDescent="0.2">
      <c r="B99" s="296" t="s">
        <v>432</v>
      </c>
      <c r="C99" s="297">
        <f>$C$8</f>
        <v>0.79300000000000004</v>
      </c>
      <c r="D99" s="297">
        <f>$D$8</f>
        <v>0.623</v>
      </c>
      <c r="E99" s="297">
        <f>$E$8</f>
        <v>0.09</v>
      </c>
      <c r="F99" s="297">
        <f>$F$8</f>
        <v>1.506</v>
      </c>
      <c r="G99" s="297">
        <f>$G$8</f>
        <v>0.41799999999999998</v>
      </c>
      <c r="H99" s="297">
        <f>$H$8</f>
        <v>1.4</v>
      </c>
      <c r="I99" s="297">
        <f>$I$8</f>
        <v>0.21</v>
      </c>
      <c r="J99" s="297">
        <f>$J$8</f>
        <v>2.028</v>
      </c>
      <c r="K99" s="297">
        <f>$K$8</f>
        <v>0.88</v>
      </c>
      <c r="L99" s="298">
        <f>$L$8</f>
        <v>4.3999999999999997E-2</v>
      </c>
      <c r="M99" s="298">
        <f>$M$8</f>
        <v>0.7</v>
      </c>
      <c r="N99" s="297">
        <f>$N$8</f>
        <v>4.4139999999999997</v>
      </c>
    </row>
    <row r="100" spans="2:14" x14ac:dyDescent="0.2">
      <c r="B100" s="136" t="s">
        <v>430</v>
      </c>
      <c r="C100" s="297"/>
      <c r="D100" s="297"/>
      <c r="E100" s="297"/>
      <c r="F100" s="297"/>
      <c r="G100" s="297"/>
      <c r="H100" s="297"/>
      <c r="I100" s="297"/>
      <c r="J100" s="297"/>
      <c r="K100" s="297"/>
      <c r="L100" s="298"/>
      <c r="M100" s="298"/>
      <c r="N100" s="297"/>
    </row>
    <row r="101" spans="2:14" x14ac:dyDescent="0.2">
      <c r="B101" s="296" t="s">
        <v>447</v>
      </c>
      <c r="C101" s="297">
        <f>$C$21</f>
        <v>0.44</v>
      </c>
      <c r="D101" s="297">
        <f>$D$21</f>
        <v>0.4</v>
      </c>
      <c r="E101" s="297">
        <f>$E$21</f>
        <v>0.06</v>
      </c>
      <c r="F101" s="297">
        <f>$F$21</f>
        <v>0.90000000000000013</v>
      </c>
      <c r="G101" s="297">
        <f>$G$21</f>
        <v>0.24</v>
      </c>
      <c r="H101" s="297">
        <f>$H$21</f>
        <v>0.55000000000000004</v>
      </c>
      <c r="I101" s="297">
        <f>$I$21</f>
        <v>0.08</v>
      </c>
      <c r="J101" s="297">
        <f>$J$21</f>
        <v>0.87</v>
      </c>
      <c r="K101" s="297">
        <f>$K$21</f>
        <v>0.43</v>
      </c>
      <c r="L101" s="298">
        <f>$L$21</f>
        <v>2.4869620253164557E-2</v>
      </c>
      <c r="M101" s="298">
        <f>$M$21</f>
        <v>0.27500000000000002</v>
      </c>
      <c r="N101" s="297">
        <f>$N$21</f>
        <v>2.2000000000000002</v>
      </c>
    </row>
    <row r="102" spans="2:14" x14ac:dyDescent="0.2">
      <c r="B102" s="296" t="s">
        <v>447</v>
      </c>
      <c r="C102" s="297">
        <f>$C$21</f>
        <v>0.44</v>
      </c>
      <c r="D102" s="297">
        <f>$D$21</f>
        <v>0.4</v>
      </c>
      <c r="E102" s="297">
        <f>$E$21</f>
        <v>0.06</v>
      </c>
      <c r="F102" s="297">
        <f>$F$21</f>
        <v>0.90000000000000013</v>
      </c>
      <c r="G102" s="297">
        <f>$G$21</f>
        <v>0.24</v>
      </c>
      <c r="H102" s="297">
        <f>$H$21</f>
        <v>0.55000000000000004</v>
      </c>
      <c r="I102" s="297">
        <f>$I$21</f>
        <v>0.08</v>
      </c>
      <c r="J102" s="297">
        <f>$J$21</f>
        <v>0.87</v>
      </c>
      <c r="K102" s="297">
        <f>$K$21</f>
        <v>0.43</v>
      </c>
      <c r="L102" s="298">
        <f>$L$21</f>
        <v>2.4869620253164557E-2</v>
      </c>
      <c r="M102" s="298">
        <f>$M$21</f>
        <v>0.27500000000000002</v>
      </c>
      <c r="N102" s="297">
        <f>$N$21</f>
        <v>2.2000000000000002</v>
      </c>
    </row>
    <row r="103" spans="2:14" x14ac:dyDescent="0.2">
      <c r="B103" s="301" t="s">
        <v>11</v>
      </c>
      <c r="C103" s="302">
        <f>SUM(C87:C102)</f>
        <v>15.219999999999999</v>
      </c>
      <c r="D103" s="302">
        <f t="shared" ref="D103:M103" si="10">SUM(D87:D102)</f>
        <v>11.461</v>
      </c>
      <c r="E103" s="302">
        <f t="shared" si="10"/>
        <v>4.9529999999999985</v>
      </c>
      <c r="F103" s="302">
        <f t="shared" si="10"/>
        <v>31.633999999999997</v>
      </c>
      <c r="G103" s="302">
        <f t="shared" si="10"/>
        <v>7.968</v>
      </c>
      <c r="H103" s="302">
        <f t="shared" si="10"/>
        <v>21.475999999999999</v>
      </c>
      <c r="I103" s="302">
        <f t="shared" si="10"/>
        <v>3.2109999999999999</v>
      </c>
      <c r="J103" s="302">
        <f t="shared" si="10"/>
        <v>32.654999999999994</v>
      </c>
      <c r="K103" s="302">
        <f t="shared" si="10"/>
        <v>16.450000000000003</v>
      </c>
      <c r="L103" s="303">
        <f t="shared" si="10"/>
        <v>0.98967026582278472</v>
      </c>
      <c r="M103" s="303">
        <f t="shared" si="10"/>
        <v>10.345915492957745</v>
      </c>
      <c r="N103" s="302">
        <f>SUM(N87:N102)</f>
        <v>80.739000000000019</v>
      </c>
    </row>
    <row r="106" spans="2:14" ht="15" x14ac:dyDescent="0.25">
      <c r="B106" s="592" t="s">
        <v>555</v>
      </c>
      <c r="C106" s="592"/>
      <c r="D106" s="592"/>
      <c r="E106" s="592"/>
      <c r="F106" s="592"/>
      <c r="G106" s="592"/>
      <c r="H106" s="592"/>
      <c r="I106" s="592"/>
      <c r="J106" s="592"/>
      <c r="K106" s="592"/>
      <c r="L106" s="592"/>
      <c r="M106" s="592"/>
      <c r="N106" s="592"/>
    </row>
    <row r="107" spans="2:14" x14ac:dyDescent="0.2">
      <c r="B107" s="283"/>
      <c r="C107" s="597" t="s">
        <v>48</v>
      </c>
      <c r="D107" s="598"/>
      <c r="E107" s="598"/>
      <c r="F107" s="599"/>
      <c r="G107" s="600" t="s">
        <v>110</v>
      </c>
      <c r="H107" s="601"/>
      <c r="I107" s="601"/>
      <c r="J107" s="602"/>
      <c r="K107" s="593" t="s">
        <v>45</v>
      </c>
      <c r="L107" s="594"/>
      <c r="M107" s="284" t="s">
        <v>2</v>
      </c>
      <c r="N107" s="595" t="s">
        <v>111</v>
      </c>
    </row>
    <row r="108" spans="2:14" ht="36" x14ac:dyDescent="0.2">
      <c r="B108" s="285"/>
      <c r="C108" s="286" t="s">
        <v>317</v>
      </c>
      <c r="D108" s="306" t="s">
        <v>112</v>
      </c>
      <c r="E108" s="616" t="s">
        <v>351</v>
      </c>
      <c r="F108" s="286" t="s">
        <v>114</v>
      </c>
      <c r="G108" s="287" t="s">
        <v>104</v>
      </c>
      <c r="H108" s="287" t="s">
        <v>105</v>
      </c>
      <c r="I108" s="310" t="s">
        <v>336</v>
      </c>
      <c r="J108" s="287" t="s">
        <v>215</v>
      </c>
      <c r="K108" s="322"/>
      <c r="L108" s="322"/>
      <c r="M108" s="286"/>
      <c r="N108" s="596"/>
    </row>
    <row r="109" spans="2:14" ht="21" customHeight="1" x14ac:dyDescent="0.2">
      <c r="B109" s="289"/>
      <c r="C109" s="289"/>
      <c r="D109" s="289"/>
      <c r="E109" s="617"/>
      <c r="F109" s="291"/>
      <c r="G109" s="292"/>
      <c r="H109" s="292"/>
      <c r="I109" s="292"/>
      <c r="J109" s="292"/>
      <c r="K109" s="323" t="s">
        <v>227</v>
      </c>
      <c r="L109" s="323" t="s">
        <v>3</v>
      </c>
      <c r="M109" s="294" t="s">
        <v>4</v>
      </c>
      <c r="N109" s="295" t="s">
        <v>227</v>
      </c>
    </row>
    <row r="110" spans="2:14" x14ac:dyDescent="0.2">
      <c r="B110" s="296" t="s">
        <v>106</v>
      </c>
      <c r="C110" s="297">
        <f>$C$6</f>
        <v>0.85</v>
      </c>
      <c r="D110" s="297">
        <f>$D$6</f>
        <v>0.63</v>
      </c>
      <c r="E110" s="297">
        <f>$E$6</f>
        <v>0.64</v>
      </c>
      <c r="F110" s="297">
        <f>$F$6</f>
        <v>2.12</v>
      </c>
      <c r="G110" s="297">
        <f>$G$6</f>
        <v>0.24</v>
      </c>
      <c r="H110" s="297">
        <f>$H$6</f>
        <v>1.48</v>
      </c>
      <c r="I110" s="297">
        <f>$I$6</f>
        <v>0.22</v>
      </c>
      <c r="J110" s="297">
        <f>$J$6</f>
        <v>1.94</v>
      </c>
      <c r="K110" s="297">
        <f>$K$6</f>
        <v>2.4</v>
      </c>
      <c r="L110" s="298">
        <f>$L$6</f>
        <v>0.12</v>
      </c>
      <c r="M110" s="298">
        <f>$M$6</f>
        <v>0.41690140845070423</v>
      </c>
      <c r="N110" s="297">
        <f>$N$6</f>
        <v>6.46</v>
      </c>
    </row>
    <row r="111" spans="2:14" x14ac:dyDescent="0.2">
      <c r="B111" s="296" t="s">
        <v>423</v>
      </c>
      <c r="C111" s="297">
        <f>$C$22</f>
        <v>0.6</v>
      </c>
      <c r="D111" s="297">
        <f>$D$22</f>
        <v>0.69</v>
      </c>
      <c r="E111" s="297">
        <f>$E$22</f>
        <v>1.04</v>
      </c>
      <c r="F111" s="297">
        <f>$F$22</f>
        <v>2.33</v>
      </c>
      <c r="G111" s="297">
        <f>$G$22</f>
        <v>0.8</v>
      </c>
      <c r="H111" s="297">
        <f>$H$22</f>
        <v>1.75</v>
      </c>
      <c r="I111" s="297">
        <f>$I$22</f>
        <v>0.26</v>
      </c>
      <c r="J111" s="297">
        <f>$J$22</f>
        <v>2.8099999999999996</v>
      </c>
      <c r="K111" s="297">
        <f>$K$22</f>
        <v>2.11</v>
      </c>
      <c r="L111" s="298">
        <f>$L$22</f>
        <v>5.2569000000000005E-2</v>
      </c>
      <c r="M111" s="298">
        <f>$M$22</f>
        <v>0.875</v>
      </c>
      <c r="N111" s="297">
        <f>$N$22</f>
        <v>7.25</v>
      </c>
    </row>
    <row r="112" spans="2:14" ht="12.95" customHeight="1" x14ac:dyDescent="0.2">
      <c r="B112" s="296" t="s">
        <v>89</v>
      </c>
      <c r="C112" s="297">
        <f>$C$7</f>
        <v>0.48</v>
      </c>
      <c r="D112" s="297">
        <f>$D$7</f>
        <v>0.3</v>
      </c>
      <c r="E112" s="297">
        <f>$E$7</f>
        <v>0.44</v>
      </c>
      <c r="F112" s="297">
        <f>$F$7</f>
        <v>1.22</v>
      </c>
      <c r="G112" s="297">
        <f>$G$7</f>
        <v>0.4</v>
      </c>
      <c r="H112" s="297">
        <f>$H$7</f>
        <v>0.28999999999999998</v>
      </c>
      <c r="I112" s="297">
        <f>$I$7</f>
        <v>0.04</v>
      </c>
      <c r="J112" s="297">
        <f>$J$7</f>
        <v>0.73</v>
      </c>
      <c r="K112" s="297">
        <f>$K$7</f>
        <v>0.6</v>
      </c>
      <c r="L112" s="298">
        <f>$L$7</f>
        <v>0.03</v>
      </c>
      <c r="M112" s="298">
        <f>$M$7</f>
        <v>0.14499999999999999</v>
      </c>
      <c r="N112" s="297">
        <f>$N$7</f>
        <v>2.5499999999999998</v>
      </c>
    </row>
    <row r="113" spans="2:14" x14ac:dyDescent="0.2">
      <c r="B113" s="296" t="s">
        <v>90</v>
      </c>
      <c r="C113" s="297">
        <f>$C$9</f>
        <v>0.48</v>
      </c>
      <c r="D113" s="297">
        <f>$D$9</f>
        <v>0.24</v>
      </c>
      <c r="E113" s="297">
        <f>$E$9</f>
        <v>0.14000000000000001</v>
      </c>
      <c r="F113" s="297">
        <f>$F$9</f>
        <v>0.86</v>
      </c>
      <c r="G113" s="297">
        <f>$G$9</f>
        <v>0.16</v>
      </c>
      <c r="H113" s="297">
        <f>$H$9</f>
        <v>0.06</v>
      </c>
      <c r="I113" s="297">
        <f>$I$9</f>
        <v>0.01</v>
      </c>
      <c r="J113" s="297">
        <f>$J$9</f>
        <v>0.23</v>
      </c>
      <c r="K113" s="297">
        <f>$K$9</f>
        <v>0.16</v>
      </c>
      <c r="L113" s="298">
        <f>$L$9</f>
        <v>8.0000000000000002E-3</v>
      </c>
      <c r="M113" s="298">
        <f>$M$9</f>
        <v>1.6901408450704227E-2</v>
      </c>
      <c r="N113" s="297">
        <f>$N$9</f>
        <v>1.25</v>
      </c>
    </row>
    <row r="114" spans="2:14" x14ac:dyDescent="0.2">
      <c r="B114" s="296" t="s">
        <v>79</v>
      </c>
      <c r="C114" s="297">
        <f>$C$10</f>
        <v>0.2</v>
      </c>
      <c r="D114" s="297">
        <f>$D$10</f>
        <v>0.122</v>
      </c>
      <c r="E114" s="297">
        <f>$E$10</f>
        <v>2.1999999999999999E-2</v>
      </c>
      <c r="F114" s="297">
        <f>$F$10</f>
        <v>0.34400000000000003</v>
      </c>
      <c r="G114" s="297">
        <f>$G$10</f>
        <v>0.04</v>
      </c>
      <c r="H114" s="297">
        <f>$H$10</f>
        <v>0.25600000000000001</v>
      </c>
      <c r="I114" s="297">
        <f>$I$10</f>
        <v>3.7999999999999999E-2</v>
      </c>
      <c r="J114" s="297">
        <f>$J$10</f>
        <v>0.33399999999999996</v>
      </c>
      <c r="K114" s="297">
        <f>$K$10</f>
        <v>1.32</v>
      </c>
      <c r="L114" s="298">
        <f>$L$10</f>
        <v>6.6000000000000003E-2</v>
      </c>
      <c r="M114" s="298">
        <f>$M$10</f>
        <v>7.2112676056338032E-2</v>
      </c>
      <c r="N114" s="297">
        <f>$N$10</f>
        <v>1.998</v>
      </c>
    </row>
    <row r="115" spans="2:14" x14ac:dyDescent="0.2">
      <c r="B115" s="296" t="s">
        <v>107</v>
      </c>
      <c r="C115" s="297">
        <f>$C$11</f>
        <v>0.16700000000000001</v>
      </c>
      <c r="D115" s="297">
        <f>$D$11</f>
        <v>0.17599999999999999</v>
      </c>
      <c r="E115" s="297">
        <f>$E$11</f>
        <v>3.1E-2</v>
      </c>
      <c r="F115" s="297">
        <f>$F$11</f>
        <v>0.374</v>
      </c>
      <c r="G115" s="297">
        <f>$G$11</f>
        <v>0.08</v>
      </c>
      <c r="H115" s="297">
        <f>$H$11</f>
        <v>0.42</v>
      </c>
      <c r="I115" s="297">
        <f>$I$11</f>
        <v>6.3E-2</v>
      </c>
      <c r="J115" s="297">
        <f>$J$11</f>
        <v>0.56299999999999994</v>
      </c>
      <c r="K115" s="297">
        <f>$K$11</f>
        <v>0.88</v>
      </c>
      <c r="L115" s="298">
        <f>$L$11</f>
        <v>4.3999999999999997E-2</v>
      </c>
      <c r="M115" s="298">
        <f>$M$11</f>
        <v>0.21</v>
      </c>
      <c r="N115" s="297">
        <f>$N$11</f>
        <v>1.8170000000000002</v>
      </c>
    </row>
    <row r="116" spans="2:14" x14ac:dyDescent="0.2">
      <c r="B116" s="296" t="s">
        <v>28</v>
      </c>
      <c r="C116" s="297">
        <f>$C$13</f>
        <v>6.55</v>
      </c>
      <c r="D116" s="297">
        <f>$D$13</f>
        <v>4.42</v>
      </c>
      <c r="E116" s="297">
        <f>$E$13</f>
        <v>1.7</v>
      </c>
      <c r="F116" s="297">
        <f>$F$13</f>
        <v>12.669999999999998</v>
      </c>
      <c r="G116" s="297">
        <f>$G$13</f>
        <v>2.46</v>
      </c>
      <c r="H116" s="297">
        <f>$H$13</f>
        <v>2.86</v>
      </c>
      <c r="I116" s="297">
        <f>$I$13</f>
        <v>0.43</v>
      </c>
      <c r="J116" s="297">
        <f>$J$13</f>
        <v>5.75</v>
      </c>
      <c r="K116" s="297">
        <f>$K$13</f>
        <v>2.0499999999999998</v>
      </c>
      <c r="L116" s="298">
        <f>$L$13</f>
        <v>0.27625443037974684</v>
      </c>
      <c r="M116" s="298">
        <f>$M$13</f>
        <v>1.43</v>
      </c>
      <c r="N116" s="297">
        <f>$N$13</f>
        <v>20.47</v>
      </c>
    </row>
    <row r="117" spans="2:14" x14ac:dyDescent="0.2">
      <c r="B117" s="136" t="s">
        <v>300</v>
      </c>
      <c r="C117" s="307"/>
      <c r="D117" s="307"/>
      <c r="E117" s="307"/>
      <c r="F117" s="307"/>
      <c r="G117" s="307"/>
      <c r="H117" s="307"/>
      <c r="I117" s="307"/>
      <c r="J117" s="307"/>
      <c r="K117" s="307"/>
      <c r="L117" s="308"/>
      <c r="M117" s="308"/>
      <c r="N117" s="309"/>
    </row>
    <row r="118" spans="2:14" x14ac:dyDescent="0.2">
      <c r="B118" s="296" t="s">
        <v>108</v>
      </c>
      <c r="C118" s="297">
        <f>$C$12</f>
        <v>1.83</v>
      </c>
      <c r="D118" s="297">
        <f>$D$12</f>
        <v>1.21</v>
      </c>
      <c r="E118" s="297">
        <f>$E$12</f>
        <v>0.38</v>
      </c>
      <c r="F118" s="297">
        <f>$F$12</f>
        <v>3.42</v>
      </c>
      <c r="G118" s="297">
        <f>$G$12</f>
        <v>1.35</v>
      </c>
      <c r="H118" s="297">
        <f>$H$12</f>
        <v>3.45</v>
      </c>
      <c r="I118" s="297">
        <f>$I$12</f>
        <v>0.52</v>
      </c>
      <c r="J118" s="297">
        <f>$J$12</f>
        <v>5.32</v>
      </c>
      <c r="K118" s="297">
        <f>$K$12</f>
        <v>1.42</v>
      </c>
      <c r="L118" s="298">
        <f>$L$12</f>
        <v>9.6789873417721509E-2</v>
      </c>
      <c r="M118" s="298">
        <f>$M$12</f>
        <v>1.7250000000000001</v>
      </c>
      <c r="N118" s="297">
        <f>$N$12</f>
        <v>10.16</v>
      </c>
    </row>
    <row r="119" spans="2:14" x14ac:dyDescent="0.2">
      <c r="B119" s="296" t="s">
        <v>109</v>
      </c>
      <c r="C119" s="297">
        <f>$C$15</f>
        <v>0.89</v>
      </c>
      <c r="D119" s="297">
        <f>$D$15</f>
        <v>0.88</v>
      </c>
      <c r="E119" s="297">
        <f>$E$15</f>
        <v>0.13</v>
      </c>
      <c r="F119" s="297">
        <f>$F$15</f>
        <v>1.9</v>
      </c>
      <c r="G119" s="297">
        <f>$G$15</f>
        <v>0.63</v>
      </c>
      <c r="H119" s="297">
        <f>$H$15</f>
        <v>2.94</v>
      </c>
      <c r="I119" s="297">
        <f>$I$15</f>
        <v>0.44</v>
      </c>
      <c r="J119" s="297">
        <f>$J$15</f>
        <v>4.01</v>
      </c>
      <c r="K119" s="297">
        <f>$K$15</f>
        <v>1.32</v>
      </c>
      <c r="L119" s="298">
        <f>$L$15</f>
        <v>6.6543037974683555E-2</v>
      </c>
      <c r="M119" s="298">
        <f>$M$15</f>
        <v>1.47</v>
      </c>
      <c r="N119" s="297">
        <f>$N$15</f>
        <v>7.23</v>
      </c>
    </row>
    <row r="120" spans="2:14" x14ac:dyDescent="0.2">
      <c r="B120" s="296" t="s">
        <v>109</v>
      </c>
      <c r="C120" s="297">
        <f>$C$15</f>
        <v>0.89</v>
      </c>
      <c r="D120" s="297">
        <f>$D$15</f>
        <v>0.88</v>
      </c>
      <c r="E120" s="297">
        <f>$E$15</f>
        <v>0.13</v>
      </c>
      <c r="F120" s="297">
        <f>$F$15</f>
        <v>1.9</v>
      </c>
      <c r="G120" s="297">
        <f>$G$15</f>
        <v>0.63</v>
      </c>
      <c r="H120" s="297">
        <f>$H$15</f>
        <v>2.94</v>
      </c>
      <c r="I120" s="297">
        <f>$I$15</f>
        <v>0.44</v>
      </c>
      <c r="J120" s="297">
        <f>$J$15</f>
        <v>4.01</v>
      </c>
      <c r="K120" s="297">
        <f>$K$15</f>
        <v>1.32</v>
      </c>
      <c r="L120" s="298">
        <f>$L$15</f>
        <v>6.6543037974683555E-2</v>
      </c>
      <c r="M120" s="298">
        <f>$M$15</f>
        <v>1.47</v>
      </c>
      <c r="N120" s="297">
        <f>$N$15</f>
        <v>7.23</v>
      </c>
    </row>
    <row r="121" spans="2:14" x14ac:dyDescent="0.2">
      <c r="B121" s="296" t="s">
        <v>424</v>
      </c>
      <c r="C121" s="297">
        <f>$C$20</f>
        <v>0.61</v>
      </c>
      <c r="D121" s="297">
        <f>$D$20</f>
        <v>0.49</v>
      </c>
      <c r="E121" s="297">
        <f>$E$20</f>
        <v>0.09</v>
      </c>
      <c r="F121" s="297">
        <f>$F$20</f>
        <v>1.1900000000000002</v>
      </c>
      <c r="G121" s="297">
        <f>$G$20</f>
        <v>0.28000000000000003</v>
      </c>
      <c r="H121" s="297">
        <f>$H$20</f>
        <v>2.5299999999999998</v>
      </c>
      <c r="I121" s="297">
        <f>$I$20</f>
        <v>0.38</v>
      </c>
      <c r="J121" s="297">
        <f>$J$20</f>
        <v>3.1899999999999995</v>
      </c>
      <c r="K121" s="297">
        <f>$K$20</f>
        <v>1.1299999999999999</v>
      </c>
      <c r="L121" s="298">
        <f>$L$20</f>
        <v>6.9231645569620262E-2</v>
      </c>
      <c r="M121" s="298">
        <f>$M$20</f>
        <v>1.2649999999999999</v>
      </c>
      <c r="N121" s="297">
        <f>$N$20</f>
        <v>5.51</v>
      </c>
    </row>
    <row r="122" spans="2:14" x14ac:dyDescent="0.2">
      <c r="B122" s="296" t="s">
        <v>448</v>
      </c>
      <c r="C122" s="297">
        <f>$C$8</f>
        <v>0.79300000000000004</v>
      </c>
      <c r="D122" s="297">
        <f>$D$8</f>
        <v>0.623</v>
      </c>
      <c r="E122" s="297">
        <f>$E$8</f>
        <v>0.09</v>
      </c>
      <c r="F122" s="297">
        <f>$F$8</f>
        <v>1.506</v>
      </c>
      <c r="G122" s="297">
        <f>$G$8</f>
        <v>0.41799999999999998</v>
      </c>
      <c r="H122" s="297">
        <f>$H$8</f>
        <v>1.4</v>
      </c>
      <c r="I122" s="297">
        <f>$I$8</f>
        <v>0.21</v>
      </c>
      <c r="J122" s="297">
        <f>$J$8</f>
        <v>2.028</v>
      </c>
      <c r="K122" s="297">
        <f>$K$8</f>
        <v>0.88</v>
      </c>
      <c r="L122" s="298">
        <f>$L$8</f>
        <v>4.3999999999999997E-2</v>
      </c>
      <c r="M122" s="298">
        <f>$M$8</f>
        <v>0.7</v>
      </c>
      <c r="N122" s="297">
        <f>$N$8</f>
        <v>4.4139999999999997</v>
      </c>
    </row>
    <row r="123" spans="2:14" x14ac:dyDescent="0.2">
      <c r="B123" s="136" t="s">
        <v>430</v>
      </c>
      <c r="C123" s="297"/>
      <c r="D123" s="297"/>
      <c r="E123" s="297"/>
      <c r="F123" s="297"/>
      <c r="G123" s="297"/>
      <c r="H123" s="297"/>
      <c r="I123" s="297"/>
      <c r="J123" s="297"/>
      <c r="K123" s="297"/>
      <c r="L123" s="298"/>
      <c r="M123" s="298"/>
      <c r="N123" s="297"/>
    </row>
    <row r="124" spans="2:14" x14ac:dyDescent="0.2">
      <c r="B124" s="296" t="s">
        <v>447</v>
      </c>
      <c r="C124" s="297">
        <f>$C$21</f>
        <v>0.44</v>
      </c>
      <c r="D124" s="297">
        <f>$D$21</f>
        <v>0.4</v>
      </c>
      <c r="E124" s="297">
        <f>$E$21</f>
        <v>0.06</v>
      </c>
      <c r="F124" s="297">
        <f>$F$21</f>
        <v>0.90000000000000013</v>
      </c>
      <c r="G124" s="297">
        <f>$G$21</f>
        <v>0.24</v>
      </c>
      <c r="H124" s="297">
        <f>$H$21</f>
        <v>0.55000000000000004</v>
      </c>
      <c r="I124" s="297">
        <f>$I$21</f>
        <v>0.08</v>
      </c>
      <c r="J124" s="297">
        <f>$J$21</f>
        <v>0.87</v>
      </c>
      <c r="K124" s="297">
        <f>$K$21</f>
        <v>0.43</v>
      </c>
      <c r="L124" s="298">
        <f>$L$21</f>
        <v>2.4869620253164557E-2</v>
      </c>
      <c r="M124" s="298">
        <f>$M$21</f>
        <v>0.27500000000000002</v>
      </c>
      <c r="N124" s="297">
        <f>$N$21</f>
        <v>2.2000000000000002</v>
      </c>
    </row>
    <row r="125" spans="2:14" x14ac:dyDescent="0.2">
      <c r="B125" s="296" t="s">
        <v>447</v>
      </c>
      <c r="C125" s="297">
        <f>$C$21</f>
        <v>0.44</v>
      </c>
      <c r="D125" s="297">
        <f>$D$21</f>
        <v>0.4</v>
      </c>
      <c r="E125" s="297">
        <f>$E$21</f>
        <v>0.06</v>
      </c>
      <c r="F125" s="297">
        <f>$F$21</f>
        <v>0.90000000000000013</v>
      </c>
      <c r="G125" s="297">
        <f>$G$21</f>
        <v>0.24</v>
      </c>
      <c r="H125" s="297">
        <f>$H$21</f>
        <v>0.55000000000000004</v>
      </c>
      <c r="I125" s="297">
        <f>$I$21</f>
        <v>0.08</v>
      </c>
      <c r="J125" s="297">
        <f>$J$21</f>
        <v>0.87</v>
      </c>
      <c r="K125" s="297">
        <f>$K$21</f>
        <v>0.43</v>
      </c>
      <c r="L125" s="298">
        <f>$L$21</f>
        <v>2.4869620253164557E-2</v>
      </c>
      <c r="M125" s="298">
        <f>$M$21</f>
        <v>0.27500000000000002</v>
      </c>
      <c r="N125" s="297">
        <f>$N$21</f>
        <v>2.2000000000000002</v>
      </c>
    </row>
    <row r="126" spans="2:14" x14ac:dyDescent="0.2">
      <c r="B126" s="301" t="s">
        <v>11</v>
      </c>
      <c r="C126" s="302">
        <f t="shared" ref="C126:M126" si="11">SUM(C110:C125)</f>
        <v>15.219999999999999</v>
      </c>
      <c r="D126" s="302">
        <f t="shared" si="11"/>
        <v>11.461</v>
      </c>
      <c r="E126" s="302">
        <f t="shared" si="11"/>
        <v>4.9529999999999985</v>
      </c>
      <c r="F126" s="302">
        <f t="shared" si="11"/>
        <v>31.633999999999997</v>
      </c>
      <c r="G126" s="302">
        <f t="shared" si="11"/>
        <v>7.968</v>
      </c>
      <c r="H126" s="302">
        <f t="shared" si="11"/>
        <v>21.475999999999999</v>
      </c>
      <c r="I126" s="302">
        <f t="shared" si="11"/>
        <v>3.2109999999999999</v>
      </c>
      <c r="J126" s="302">
        <f t="shared" si="11"/>
        <v>32.654999999999994</v>
      </c>
      <c r="K126" s="302">
        <f t="shared" si="11"/>
        <v>16.450000000000003</v>
      </c>
      <c r="L126" s="303">
        <f t="shared" si="11"/>
        <v>0.98967026582278472</v>
      </c>
      <c r="M126" s="303">
        <f t="shared" si="11"/>
        <v>10.345915492957745</v>
      </c>
      <c r="N126" s="302">
        <f>SUM(N110:N125)</f>
        <v>80.739000000000019</v>
      </c>
    </row>
    <row r="129" spans="2:14" ht="12.95" customHeight="1" x14ac:dyDescent="0.25">
      <c r="B129" s="592" t="s">
        <v>556</v>
      </c>
      <c r="C129" s="592"/>
      <c r="D129" s="592"/>
      <c r="E129" s="592"/>
      <c r="F129" s="592"/>
      <c r="G129" s="592"/>
      <c r="H129" s="592"/>
      <c r="I129" s="592"/>
      <c r="J129" s="592"/>
      <c r="K129" s="592"/>
      <c r="L129" s="592"/>
      <c r="M129" s="592"/>
      <c r="N129" s="592"/>
    </row>
    <row r="130" spans="2:14" ht="12.75" customHeight="1" x14ac:dyDescent="0.2">
      <c r="B130" s="283"/>
      <c r="C130" s="597" t="s">
        <v>48</v>
      </c>
      <c r="D130" s="598"/>
      <c r="E130" s="598"/>
      <c r="F130" s="599"/>
      <c r="G130" s="600" t="s">
        <v>110</v>
      </c>
      <c r="H130" s="601"/>
      <c r="I130" s="601"/>
      <c r="J130" s="602"/>
      <c r="K130" s="593" t="s">
        <v>45</v>
      </c>
      <c r="L130" s="594"/>
      <c r="M130" s="284" t="s">
        <v>2</v>
      </c>
      <c r="N130" s="595" t="s">
        <v>111</v>
      </c>
    </row>
    <row r="131" spans="2:14" ht="12.75" customHeight="1" x14ac:dyDescent="0.2">
      <c r="B131" s="285"/>
      <c r="C131" s="616" t="s">
        <v>317</v>
      </c>
      <c r="D131" s="618" t="s">
        <v>112</v>
      </c>
      <c r="E131" s="616" t="s">
        <v>351</v>
      </c>
      <c r="F131" s="616" t="s">
        <v>114</v>
      </c>
      <c r="G131" s="614" t="s">
        <v>104</v>
      </c>
      <c r="H131" s="614" t="s">
        <v>105</v>
      </c>
      <c r="I131" s="607" t="s">
        <v>336</v>
      </c>
      <c r="J131" s="614" t="s">
        <v>215</v>
      </c>
      <c r="K131" s="322"/>
      <c r="L131" s="322"/>
      <c r="M131" s="286"/>
      <c r="N131" s="596"/>
    </row>
    <row r="132" spans="2:14" ht="39" customHeight="1" x14ac:dyDescent="0.2">
      <c r="B132" s="289"/>
      <c r="C132" s="617"/>
      <c r="D132" s="619"/>
      <c r="E132" s="617"/>
      <c r="F132" s="617"/>
      <c r="G132" s="615"/>
      <c r="H132" s="615"/>
      <c r="I132" s="613"/>
      <c r="J132" s="615"/>
      <c r="K132" s="323" t="s">
        <v>227</v>
      </c>
      <c r="L132" s="323" t="s">
        <v>3</v>
      </c>
      <c r="M132" s="294" t="s">
        <v>4</v>
      </c>
      <c r="N132" s="295" t="s">
        <v>227</v>
      </c>
    </row>
    <row r="133" spans="2:14" ht="12.95" customHeight="1" x14ac:dyDescent="0.2">
      <c r="B133" s="296" t="s">
        <v>106</v>
      </c>
      <c r="C133" s="297">
        <f>$C$6</f>
        <v>0.85</v>
      </c>
      <c r="D133" s="297">
        <f>$D$6</f>
        <v>0.63</v>
      </c>
      <c r="E133" s="297">
        <f>$E$6</f>
        <v>0.64</v>
      </c>
      <c r="F133" s="297">
        <f>$F$6</f>
        <v>2.12</v>
      </c>
      <c r="G133" s="297">
        <f>$G$6</f>
        <v>0.24</v>
      </c>
      <c r="H133" s="297">
        <f>$H$6</f>
        <v>1.48</v>
      </c>
      <c r="I133" s="297">
        <f>$I$6</f>
        <v>0.22</v>
      </c>
      <c r="J133" s="297">
        <f>$J$6</f>
        <v>1.94</v>
      </c>
      <c r="K133" s="297">
        <f>$K$6</f>
        <v>2.4</v>
      </c>
      <c r="L133" s="298">
        <f>$L$6</f>
        <v>0.12</v>
      </c>
      <c r="M133" s="298">
        <f>$M$6</f>
        <v>0.41690140845070423</v>
      </c>
      <c r="N133" s="297">
        <f>$N$6</f>
        <v>6.46</v>
      </c>
    </row>
    <row r="134" spans="2:14" ht="12.95" customHeight="1" x14ac:dyDescent="0.2">
      <c r="B134" s="296" t="s">
        <v>423</v>
      </c>
      <c r="C134" s="297">
        <f>$C$22</f>
        <v>0.6</v>
      </c>
      <c r="D134" s="297">
        <f>$D$22</f>
        <v>0.69</v>
      </c>
      <c r="E134" s="297">
        <f>$E$22</f>
        <v>1.04</v>
      </c>
      <c r="F134" s="297">
        <f>$F$22</f>
        <v>2.33</v>
      </c>
      <c r="G134" s="297">
        <f>$G$22</f>
        <v>0.8</v>
      </c>
      <c r="H134" s="297">
        <f>$H$22</f>
        <v>1.75</v>
      </c>
      <c r="I134" s="297">
        <f>$I$22</f>
        <v>0.26</v>
      </c>
      <c r="J134" s="297">
        <f>$J$22</f>
        <v>2.8099999999999996</v>
      </c>
      <c r="K134" s="297">
        <f>$K$22</f>
        <v>2.11</v>
      </c>
      <c r="L134" s="298">
        <f>$L$22</f>
        <v>5.2569000000000005E-2</v>
      </c>
      <c r="M134" s="298">
        <f>$M$22</f>
        <v>0.875</v>
      </c>
      <c r="N134" s="297">
        <f>$N$22</f>
        <v>7.25</v>
      </c>
    </row>
    <row r="135" spans="2:14" x14ac:dyDescent="0.2">
      <c r="B135" s="296" t="s">
        <v>89</v>
      </c>
      <c r="C135" s="297">
        <f>$C$7</f>
        <v>0.48</v>
      </c>
      <c r="D135" s="297">
        <f>$D$7</f>
        <v>0.3</v>
      </c>
      <c r="E135" s="297">
        <f>$E$7</f>
        <v>0.44</v>
      </c>
      <c r="F135" s="297">
        <f>$F$7</f>
        <v>1.22</v>
      </c>
      <c r="G135" s="297">
        <f>$G$7</f>
        <v>0.4</v>
      </c>
      <c r="H135" s="297">
        <f>$H$7</f>
        <v>0.28999999999999998</v>
      </c>
      <c r="I135" s="297">
        <f>$I$7</f>
        <v>0.04</v>
      </c>
      <c r="J135" s="297">
        <f>$J$7</f>
        <v>0.73</v>
      </c>
      <c r="K135" s="297">
        <f>$K$7</f>
        <v>0.6</v>
      </c>
      <c r="L135" s="298">
        <f>$L$7</f>
        <v>0.03</v>
      </c>
      <c r="M135" s="298">
        <f>$M$7</f>
        <v>0.14499999999999999</v>
      </c>
      <c r="N135" s="297">
        <f>$N$7</f>
        <v>2.5499999999999998</v>
      </c>
    </row>
    <row r="136" spans="2:14" x14ac:dyDescent="0.2">
      <c r="B136" s="296" t="s">
        <v>90</v>
      </c>
      <c r="C136" s="297">
        <f>$C$9</f>
        <v>0.48</v>
      </c>
      <c r="D136" s="297">
        <f>$D$9</f>
        <v>0.24</v>
      </c>
      <c r="E136" s="297">
        <f>$E$9</f>
        <v>0.14000000000000001</v>
      </c>
      <c r="F136" s="297">
        <f>$F$9</f>
        <v>0.86</v>
      </c>
      <c r="G136" s="297">
        <f>$G$9</f>
        <v>0.16</v>
      </c>
      <c r="H136" s="297">
        <f>$H$9</f>
        <v>0.06</v>
      </c>
      <c r="I136" s="297">
        <f>$I$9</f>
        <v>0.01</v>
      </c>
      <c r="J136" s="297">
        <f>$J$9</f>
        <v>0.23</v>
      </c>
      <c r="K136" s="297">
        <f>$K$9</f>
        <v>0.16</v>
      </c>
      <c r="L136" s="298">
        <f>$L$9</f>
        <v>8.0000000000000002E-3</v>
      </c>
      <c r="M136" s="298">
        <f>$M$9</f>
        <v>1.6901408450704227E-2</v>
      </c>
      <c r="N136" s="297">
        <f>$N$9</f>
        <v>1.25</v>
      </c>
    </row>
    <row r="137" spans="2:14" x14ac:dyDescent="0.2">
      <c r="B137" s="296" t="s">
        <v>79</v>
      </c>
      <c r="C137" s="297">
        <f>$C$10</f>
        <v>0.2</v>
      </c>
      <c r="D137" s="297">
        <f>$D$10</f>
        <v>0.122</v>
      </c>
      <c r="E137" s="297">
        <f>$E$10</f>
        <v>2.1999999999999999E-2</v>
      </c>
      <c r="F137" s="297">
        <f>$F$10</f>
        <v>0.34400000000000003</v>
      </c>
      <c r="G137" s="297">
        <f>$G$10</f>
        <v>0.04</v>
      </c>
      <c r="H137" s="297">
        <f>$H$10</f>
        <v>0.25600000000000001</v>
      </c>
      <c r="I137" s="297">
        <f>$I$10</f>
        <v>3.7999999999999999E-2</v>
      </c>
      <c r="J137" s="297">
        <f>$J$10</f>
        <v>0.33399999999999996</v>
      </c>
      <c r="K137" s="297">
        <f>$K$10</f>
        <v>1.32</v>
      </c>
      <c r="L137" s="298">
        <f>$L$10</f>
        <v>6.6000000000000003E-2</v>
      </c>
      <c r="M137" s="298">
        <f>$M$10</f>
        <v>7.2112676056338032E-2</v>
      </c>
      <c r="N137" s="297">
        <f>$N$10</f>
        <v>1.998</v>
      </c>
    </row>
    <row r="138" spans="2:14" x14ac:dyDescent="0.2">
      <c r="B138" s="296" t="s">
        <v>107</v>
      </c>
      <c r="C138" s="297">
        <f>$C$11</f>
        <v>0.16700000000000001</v>
      </c>
      <c r="D138" s="297">
        <f>$D$11</f>
        <v>0.17599999999999999</v>
      </c>
      <c r="E138" s="297">
        <f>$E$11</f>
        <v>3.1E-2</v>
      </c>
      <c r="F138" s="297">
        <f>$F$11</f>
        <v>0.374</v>
      </c>
      <c r="G138" s="297">
        <f>$G$11</f>
        <v>0.08</v>
      </c>
      <c r="H138" s="297">
        <f>$H$11</f>
        <v>0.42</v>
      </c>
      <c r="I138" s="297">
        <f>$I$11</f>
        <v>6.3E-2</v>
      </c>
      <c r="J138" s="297">
        <f>$J$11</f>
        <v>0.56299999999999994</v>
      </c>
      <c r="K138" s="297">
        <f>$K$11</f>
        <v>0.88</v>
      </c>
      <c r="L138" s="298">
        <f>$L$11</f>
        <v>4.3999999999999997E-2</v>
      </c>
      <c r="M138" s="298">
        <f>$M$11</f>
        <v>0.21</v>
      </c>
      <c r="N138" s="297">
        <f>$N$11</f>
        <v>1.8170000000000002</v>
      </c>
    </row>
    <row r="139" spans="2:14" x14ac:dyDescent="0.2">
      <c r="B139" s="296" t="s">
        <v>28</v>
      </c>
      <c r="C139" s="297">
        <f>$C$13</f>
        <v>6.55</v>
      </c>
      <c r="D139" s="297">
        <f>$D$13</f>
        <v>4.42</v>
      </c>
      <c r="E139" s="297">
        <f>$E$13</f>
        <v>1.7</v>
      </c>
      <c r="F139" s="297">
        <f>$F$13</f>
        <v>12.669999999999998</v>
      </c>
      <c r="G139" s="297">
        <f>$G$13</f>
        <v>2.46</v>
      </c>
      <c r="H139" s="297">
        <f>$H$13</f>
        <v>2.86</v>
      </c>
      <c r="I139" s="297">
        <f>$I$13</f>
        <v>0.43</v>
      </c>
      <c r="J139" s="297">
        <f>$J$13</f>
        <v>5.75</v>
      </c>
      <c r="K139" s="297">
        <f>$K$13</f>
        <v>2.0499999999999998</v>
      </c>
      <c r="L139" s="298">
        <f>$L$13</f>
        <v>0.27625443037974684</v>
      </c>
      <c r="M139" s="298">
        <f>$M$13</f>
        <v>1.43</v>
      </c>
      <c r="N139" s="297">
        <f>$N$13</f>
        <v>20.47</v>
      </c>
    </row>
    <row r="140" spans="2:14" x14ac:dyDescent="0.2">
      <c r="B140" s="136" t="s">
        <v>300</v>
      </c>
      <c r="C140" s="307"/>
      <c r="D140" s="307"/>
      <c r="E140" s="307"/>
      <c r="F140" s="307"/>
      <c r="G140" s="307"/>
      <c r="H140" s="307"/>
      <c r="I140" s="307"/>
      <c r="J140" s="307"/>
      <c r="K140" s="307"/>
      <c r="L140" s="308"/>
      <c r="M140" s="308"/>
      <c r="N140" s="309"/>
    </row>
    <row r="141" spans="2:14" x14ac:dyDescent="0.2">
      <c r="B141" s="296" t="s">
        <v>108</v>
      </c>
      <c r="C141" s="297">
        <f>$C$12</f>
        <v>1.83</v>
      </c>
      <c r="D141" s="297">
        <f>$D$12</f>
        <v>1.21</v>
      </c>
      <c r="E141" s="297">
        <f>$E$12</f>
        <v>0.38</v>
      </c>
      <c r="F141" s="297">
        <f>$F$12</f>
        <v>3.42</v>
      </c>
      <c r="G141" s="297">
        <f>$G$12</f>
        <v>1.35</v>
      </c>
      <c r="H141" s="297">
        <f>$H$12</f>
        <v>3.45</v>
      </c>
      <c r="I141" s="297">
        <f>$I$12</f>
        <v>0.52</v>
      </c>
      <c r="J141" s="297">
        <f>$J$12</f>
        <v>5.32</v>
      </c>
      <c r="K141" s="297">
        <f>$K$12</f>
        <v>1.42</v>
      </c>
      <c r="L141" s="298">
        <f>$L$12</f>
        <v>9.6789873417721509E-2</v>
      </c>
      <c r="M141" s="298">
        <f>$M$12</f>
        <v>1.7250000000000001</v>
      </c>
      <c r="N141" s="297">
        <f>$N$12</f>
        <v>10.16</v>
      </c>
    </row>
    <row r="142" spans="2:14" x14ac:dyDescent="0.2">
      <c r="B142" s="296" t="s">
        <v>109</v>
      </c>
      <c r="C142" s="297">
        <f>$C$15</f>
        <v>0.89</v>
      </c>
      <c r="D142" s="297">
        <f>$D$15</f>
        <v>0.88</v>
      </c>
      <c r="E142" s="297">
        <f>$E$15</f>
        <v>0.13</v>
      </c>
      <c r="F142" s="297">
        <f>$F$15</f>
        <v>1.9</v>
      </c>
      <c r="G142" s="297">
        <f>$G$15</f>
        <v>0.63</v>
      </c>
      <c r="H142" s="297">
        <f>$H$15</f>
        <v>2.94</v>
      </c>
      <c r="I142" s="297">
        <f>$I$15</f>
        <v>0.44</v>
      </c>
      <c r="J142" s="297">
        <f>$J$15</f>
        <v>4.01</v>
      </c>
      <c r="K142" s="297">
        <f>$K$15</f>
        <v>1.32</v>
      </c>
      <c r="L142" s="298">
        <f>$L$15</f>
        <v>6.6543037974683555E-2</v>
      </c>
      <c r="M142" s="298">
        <f>$M$15</f>
        <v>1.47</v>
      </c>
      <c r="N142" s="297">
        <f>$N$15</f>
        <v>7.23</v>
      </c>
    </row>
    <row r="143" spans="2:14" x14ac:dyDescent="0.2">
      <c r="B143" s="296" t="s">
        <v>109</v>
      </c>
      <c r="C143" s="297">
        <f>$C$15</f>
        <v>0.89</v>
      </c>
      <c r="D143" s="297">
        <f>$D$15</f>
        <v>0.88</v>
      </c>
      <c r="E143" s="297">
        <f>$E$15</f>
        <v>0.13</v>
      </c>
      <c r="F143" s="297">
        <f>$F$15</f>
        <v>1.9</v>
      </c>
      <c r="G143" s="297">
        <f>$G$15</f>
        <v>0.63</v>
      </c>
      <c r="H143" s="297">
        <f>$H$15</f>
        <v>2.94</v>
      </c>
      <c r="I143" s="297">
        <f>$I$15</f>
        <v>0.44</v>
      </c>
      <c r="J143" s="297">
        <f>$J$15</f>
        <v>4.01</v>
      </c>
      <c r="K143" s="297">
        <f>$K$15</f>
        <v>1.32</v>
      </c>
      <c r="L143" s="298">
        <f>$L$15</f>
        <v>6.6543037974683555E-2</v>
      </c>
      <c r="M143" s="298">
        <f>$M$15</f>
        <v>1.47</v>
      </c>
      <c r="N143" s="297">
        <f>$N$15</f>
        <v>7.23</v>
      </c>
    </row>
    <row r="144" spans="2:14" x14ac:dyDescent="0.2">
      <c r="B144" s="296" t="s">
        <v>424</v>
      </c>
      <c r="C144" s="297">
        <f>$C$20</f>
        <v>0.61</v>
      </c>
      <c r="D144" s="297">
        <f>$D$20</f>
        <v>0.49</v>
      </c>
      <c r="E144" s="297">
        <f>$E$20</f>
        <v>0.09</v>
      </c>
      <c r="F144" s="297">
        <f>$F$20</f>
        <v>1.1900000000000002</v>
      </c>
      <c r="G144" s="297">
        <f>$G$20</f>
        <v>0.28000000000000003</v>
      </c>
      <c r="H144" s="297">
        <f>$H$20</f>
        <v>2.5299999999999998</v>
      </c>
      <c r="I144" s="297">
        <f>$I$20</f>
        <v>0.38</v>
      </c>
      <c r="J144" s="297">
        <f>$J$20</f>
        <v>3.1899999999999995</v>
      </c>
      <c r="K144" s="297">
        <f>$K$20</f>
        <v>1.1299999999999999</v>
      </c>
      <c r="L144" s="298">
        <f>$L$20</f>
        <v>6.9231645569620262E-2</v>
      </c>
      <c r="M144" s="298">
        <f>$M$20</f>
        <v>1.2649999999999999</v>
      </c>
      <c r="N144" s="297">
        <f>$N$20</f>
        <v>5.51</v>
      </c>
    </row>
    <row r="145" spans="2:14" x14ac:dyDescent="0.2">
      <c r="B145" s="296" t="s">
        <v>448</v>
      </c>
      <c r="C145" s="297">
        <f>$C$8</f>
        <v>0.79300000000000004</v>
      </c>
      <c r="D145" s="297">
        <f>$D$8</f>
        <v>0.623</v>
      </c>
      <c r="E145" s="297">
        <f>$E$8</f>
        <v>0.09</v>
      </c>
      <c r="F145" s="297">
        <f>$F$8</f>
        <v>1.506</v>
      </c>
      <c r="G145" s="297">
        <f>$G$8</f>
        <v>0.41799999999999998</v>
      </c>
      <c r="H145" s="297">
        <f>$H$8</f>
        <v>1.4</v>
      </c>
      <c r="I145" s="297">
        <f>$I$8</f>
        <v>0.21</v>
      </c>
      <c r="J145" s="297">
        <f>$J$8</f>
        <v>2.028</v>
      </c>
      <c r="K145" s="297">
        <f>$K$8</f>
        <v>0.88</v>
      </c>
      <c r="L145" s="298">
        <f>$L$8</f>
        <v>4.3999999999999997E-2</v>
      </c>
      <c r="M145" s="298">
        <f>$M$8</f>
        <v>0.7</v>
      </c>
      <c r="N145" s="297">
        <f>$N$8</f>
        <v>4.4139999999999997</v>
      </c>
    </row>
    <row r="146" spans="2:14" x14ac:dyDescent="0.2">
      <c r="B146" s="296" t="s">
        <v>430</v>
      </c>
      <c r="C146" s="297"/>
      <c r="D146" s="297"/>
      <c r="E146" s="297"/>
      <c r="F146" s="297"/>
      <c r="G146" s="297"/>
      <c r="H146" s="297"/>
      <c r="I146" s="297"/>
      <c r="J146" s="297"/>
      <c r="K146" s="297"/>
      <c r="L146" s="298"/>
      <c r="M146" s="298"/>
      <c r="N146" s="297"/>
    </row>
    <row r="147" spans="2:14" x14ac:dyDescent="0.2">
      <c r="B147" s="296" t="s">
        <v>447</v>
      </c>
      <c r="C147" s="297">
        <f>$C$21</f>
        <v>0.44</v>
      </c>
      <c r="D147" s="297">
        <f>$D$21</f>
        <v>0.4</v>
      </c>
      <c r="E147" s="297">
        <f>$E$21</f>
        <v>0.06</v>
      </c>
      <c r="F147" s="297">
        <f>$F$21</f>
        <v>0.90000000000000013</v>
      </c>
      <c r="G147" s="297">
        <f>$G$21</f>
        <v>0.24</v>
      </c>
      <c r="H147" s="297">
        <f>$H$21</f>
        <v>0.55000000000000004</v>
      </c>
      <c r="I147" s="297">
        <f>$I$21</f>
        <v>0.08</v>
      </c>
      <c r="J147" s="297">
        <f>$J$21</f>
        <v>0.87</v>
      </c>
      <c r="K147" s="297">
        <f>$K$21</f>
        <v>0.43</v>
      </c>
      <c r="L147" s="298">
        <f>$L$21</f>
        <v>2.4869620253164557E-2</v>
      </c>
      <c r="M147" s="298">
        <f>$M$21</f>
        <v>0.27500000000000002</v>
      </c>
      <c r="N147" s="297">
        <f>$N$21</f>
        <v>2.2000000000000002</v>
      </c>
    </row>
    <row r="148" spans="2:14" x14ac:dyDescent="0.2">
      <c r="B148" s="296" t="s">
        <v>447</v>
      </c>
      <c r="C148" s="297">
        <f>$C$21</f>
        <v>0.44</v>
      </c>
      <c r="D148" s="297">
        <f>$D$21</f>
        <v>0.4</v>
      </c>
      <c r="E148" s="297">
        <f>$E$21</f>
        <v>0.06</v>
      </c>
      <c r="F148" s="297">
        <f>$F$21</f>
        <v>0.90000000000000013</v>
      </c>
      <c r="G148" s="297">
        <f>$G$21</f>
        <v>0.24</v>
      </c>
      <c r="H148" s="297">
        <f>$H$21</f>
        <v>0.55000000000000004</v>
      </c>
      <c r="I148" s="297">
        <f>$I$21</f>
        <v>0.08</v>
      </c>
      <c r="J148" s="297">
        <f>$J$21</f>
        <v>0.87</v>
      </c>
      <c r="K148" s="297">
        <f>$K$21</f>
        <v>0.43</v>
      </c>
      <c r="L148" s="298">
        <f>$L$21</f>
        <v>2.4869620253164557E-2</v>
      </c>
      <c r="M148" s="298">
        <f>$M$21</f>
        <v>0.27500000000000002</v>
      </c>
      <c r="N148" s="297">
        <f>$N$21</f>
        <v>2.2000000000000002</v>
      </c>
    </row>
    <row r="149" spans="2:14" x14ac:dyDescent="0.2">
      <c r="B149" s="301" t="s">
        <v>11</v>
      </c>
      <c r="C149" s="302">
        <f t="shared" ref="C149:N149" si="12">SUM(C133:C148)</f>
        <v>15.219999999999999</v>
      </c>
      <c r="D149" s="302">
        <f t="shared" si="12"/>
        <v>11.461</v>
      </c>
      <c r="E149" s="302">
        <f t="shared" si="12"/>
        <v>4.9529999999999985</v>
      </c>
      <c r="F149" s="302">
        <f t="shared" si="12"/>
        <v>31.633999999999997</v>
      </c>
      <c r="G149" s="302">
        <f t="shared" si="12"/>
        <v>7.968</v>
      </c>
      <c r="H149" s="302">
        <f t="shared" si="12"/>
        <v>21.475999999999999</v>
      </c>
      <c r="I149" s="302">
        <f t="shared" si="12"/>
        <v>3.2109999999999999</v>
      </c>
      <c r="J149" s="302">
        <f t="shared" si="12"/>
        <v>32.654999999999994</v>
      </c>
      <c r="K149" s="302">
        <f t="shared" si="12"/>
        <v>16.450000000000003</v>
      </c>
      <c r="L149" s="303">
        <f t="shared" si="12"/>
        <v>0.98967026582278472</v>
      </c>
      <c r="M149" s="303">
        <f t="shared" si="12"/>
        <v>10.345915492957745</v>
      </c>
      <c r="N149" s="302">
        <f t="shared" si="12"/>
        <v>80.739000000000019</v>
      </c>
    </row>
    <row r="152" spans="2:14" ht="15" x14ac:dyDescent="0.25">
      <c r="B152" s="592" t="s">
        <v>557</v>
      </c>
      <c r="C152" s="592"/>
      <c r="D152" s="592"/>
      <c r="E152" s="592"/>
      <c r="F152" s="592"/>
      <c r="G152" s="592"/>
      <c r="H152" s="592"/>
      <c r="I152" s="592"/>
      <c r="J152" s="592"/>
      <c r="K152" s="592"/>
      <c r="L152" s="592"/>
      <c r="M152" s="592"/>
      <c r="N152" s="592"/>
    </row>
    <row r="153" spans="2:14" ht="12.75" customHeight="1" x14ac:dyDescent="0.2">
      <c r="B153" s="283"/>
      <c r="C153" s="597" t="s">
        <v>48</v>
      </c>
      <c r="D153" s="598"/>
      <c r="E153" s="598"/>
      <c r="F153" s="599"/>
      <c r="G153" s="600" t="s">
        <v>110</v>
      </c>
      <c r="H153" s="601"/>
      <c r="I153" s="601"/>
      <c r="J153" s="602"/>
      <c r="K153" s="593" t="s">
        <v>45</v>
      </c>
      <c r="L153" s="594"/>
      <c r="M153" s="284" t="s">
        <v>2</v>
      </c>
      <c r="N153" s="595" t="s">
        <v>111</v>
      </c>
    </row>
    <row r="154" spans="2:14" ht="12.75" customHeight="1" x14ac:dyDescent="0.2">
      <c r="B154" s="285"/>
      <c r="C154" s="616" t="s">
        <v>317</v>
      </c>
      <c r="D154" s="618" t="s">
        <v>112</v>
      </c>
      <c r="E154" s="616" t="s">
        <v>351</v>
      </c>
      <c r="F154" s="616" t="s">
        <v>114</v>
      </c>
      <c r="G154" s="614" t="s">
        <v>104</v>
      </c>
      <c r="H154" s="614" t="s">
        <v>105</v>
      </c>
      <c r="I154" s="607" t="s">
        <v>336</v>
      </c>
      <c r="J154" s="614" t="s">
        <v>215</v>
      </c>
      <c r="K154" s="322"/>
      <c r="L154" s="322"/>
      <c r="M154" s="286"/>
      <c r="N154" s="596"/>
    </row>
    <row r="155" spans="2:14" ht="39" customHeight="1" x14ac:dyDescent="0.2">
      <c r="B155" s="289"/>
      <c r="C155" s="617"/>
      <c r="D155" s="619"/>
      <c r="E155" s="617"/>
      <c r="F155" s="617"/>
      <c r="G155" s="615"/>
      <c r="H155" s="615"/>
      <c r="I155" s="613"/>
      <c r="J155" s="615"/>
      <c r="K155" s="323" t="s">
        <v>227</v>
      </c>
      <c r="L155" s="323" t="s">
        <v>3</v>
      </c>
      <c r="M155" s="294" t="s">
        <v>4</v>
      </c>
      <c r="N155" s="295" t="s">
        <v>227</v>
      </c>
    </row>
    <row r="156" spans="2:14" ht="12.95" customHeight="1" x14ac:dyDescent="0.2">
      <c r="B156" s="296" t="s">
        <v>106</v>
      </c>
      <c r="C156" s="297">
        <f>$C$6</f>
        <v>0.85</v>
      </c>
      <c r="D156" s="297">
        <f>$D$6</f>
        <v>0.63</v>
      </c>
      <c r="E156" s="297">
        <f>$E$6</f>
        <v>0.64</v>
      </c>
      <c r="F156" s="297">
        <f>$F$6</f>
        <v>2.12</v>
      </c>
      <c r="G156" s="297">
        <f>$G$6</f>
        <v>0.24</v>
      </c>
      <c r="H156" s="297">
        <f>$H$6</f>
        <v>1.48</v>
      </c>
      <c r="I156" s="297">
        <f>$I$6</f>
        <v>0.22</v>
      </c>
      <c r="J156" s="297">
        <f>$J$6</f>
        <v>1.94</v>
      </c>
      <c r="K156" s="297">
        <f>$K$6</f>
        <v>2.4</v>
      </c>
      <c r="L156" s="298">
        <f>$L$6</f>
        <v>0.12</v>
      </c>
      <c r="M156" s="298">
        <f>$M$6</f>
        <v>0.41690140845070423</v>
      </c>
      <c r="N156" s="297">
        <f>$N$6</f>
        <v>6.46</v>
      </c>
    </row>
    <row r="157" spans="2:14" ht="12.95" customHeight="1" x14ac:dyDescent="0.2">
      <c r="B157" s="296" t="s">
        <v>423</v>
      </c>
      <c r="C157" s="297">
        <f>$C$22</f>
        <v>0.6</v>
      </c>
      <c r="D157" s="297">
        <f>$D$22</f>
        <v>0.69</v>
      </c>
      <c r="E157" s="297">
        <f>$E$22</f>
        <v>1.04</v>
      </c>
      <c r="F157" s="297">
        <f>$F$22</f>
        <v>2.33</v>
      </c>
      <c r="G157" s="297">
        <f>$G$22</f>
        <v>0.8</v>
      </c>
      <c r="H157" s="297">
        <f>$H$22</f>
        <v>1.75</v>
      </c>
      <c r="I157" s="297">
        <f>$I$22</f>
        <v>0.26</v>
      </c>
      <c r="J157" s="297">
        <f>$J$22</f>
        <v>2.8099999999999996</v>
      </c>
      <c r="K157" s="297">
        <f>$K$22</f>
        <v>2.11</v>
      </c>
      <c r="L157" s="298">
        <f>$L$22</f>
        <v>5.2569000000000005E-2</v>
      </c>
      <c r="M157" s="298">
        <f>$M$22</f>
        <v>0.875</v>
      </c>
      <c r="N157" s="297">
        <f>$N$22</f>
        <v>7.25</v>
      </c>
    </row>
    <row r="158" spans="2:14" x14ac:dyDescent="0.2">
      <c r="B158" s="296" t="s">
        <v>89</v>
      </c>
      <c r="C158" s="297">
        <f>$C$7</f>
        <v>0.48</v>
      </c>
      <c r="D158" s="297">
        <f>$D$7</f>
        <v>0.3</v>
      </c>
      <c r="E158" s="297">
        <f>$E$7</f>
        <v>0.44</v>
      </c>
      <c r="F158" s="297">
        <f>$F$7</f>
        <v>1.22</v>
      </c>
      <c r="G158" s="297">
        <f>$G$7</f>
        <v>0.4</v>
      </c>
      <c r="H158" s="297">
        <f>$H$7</f>
        <v>0.28999999999999998</v>
      </c>
      <c r="I158" s="297">
        <f>$I$7</f>
        <v>0.04</v>
      </c>
      <c r="J158" s="297">
        <f>$J$7</f>
        <v>0.73</v>
      </c>
      <c r="K158" s="297">
        <f>$K$7</f>
        <v>0.6</v>
      </c>
      <c r="L158" s="298">
        <f>$L$7</f>
        <v>0.03</v>
      </c>
      <c r="M158" s="298">
        <f>$M$7</f>
        <v>0.14499999999999999</v>
      </c>
      <c r="N158" s="297">
        <f>$N$7</f>
        <v>2.5499999999999998</v>
      </c>
    </row>
    <row r="159" spans="2:14" ht="12.95" customHeight="1" x14ac:dyDescent="0.2">
      <c r="B159" s="296" t="s">
        <v>90</v>
      </c>
      <c r="C159" s="297">
        <f>$C$9</f>
        <v>0.48</v>
      </c>
      <c r="D159" s="297">
        <f>$D$9</f>
        <v>0.24</v>
      </c>
      <c r="E159" s="297">
        <f>$E$9</f>
        <v>0.14000000000000001</v>
      </c>
      <c r="F159" s="297">
        <f>$F$9</f>
        <v>0.86</v>
      </c>
      <c r="G159" s="297">
        <f>$G$9</f>
        <v>0.16</v>
      </c>
      <c r="H159" s="297">
        <f>$H$9</f>
        <v>0.06</v>
      </c>
      <c r="I159" s="297">
        <f>$I$9</f>
        <v>0.01</v>
      </c>
      <c r="J159" s="297">
        <f>$J$9</f>
        <v>0.23</v>
      </c>
      <c r="K159" s="297">
        <f>$K$9</f>
        <v>0.16</v>
      </c>
      <c r="L159" s="298">
        <f>$L$9</f>
        <v>8.0000000000000002E-3</v>
      </c>
      <c r="M159" s="298">
        <f>$M$9</f>
        <v>1.6901408450704227E-2</v>
      </c>
      <c r="N159" s="297">
        <f>$N$9</f>
        <v>1.25</v>
      </c>
    </row>
    <row r="160" spans="2:14" ht="12.95" customHeight="1" x14ac:dyDescent="0.2">
      <c r="B160" s="296" t="s">
        <v>79</v>
      </c>
      <c r="C160" s="297">
        <f>$C$10</f>
        <v>0.2</v>
      </c>
      <c r="D160" s="297">
        <f>$D$10</f>
        <v>0.122</v>
      </c>
      <c r="E160" s="297">
        <f>$E$10</f>
        <v>2.1999999999999999E-2</v>
      </c>
      <c r="F160" s="297">
        <f>$F$10</f>
        <v>0.34400000000000003</v>
      </c>
      <c r="G160" s="297">
        <f>$G$10</f>
        <v>0.04</v>
      </c>
      <c r="H160" s="297">
        <f>$H$10</f>
        <v>0.25600000000000001</v>
      </c>
      <c r="I160" s="297">
        <f>$I$10</f>
        <v>3.7999999999999999E-2</v>
      </c>
      <c r="J160" s="297">
        <f>$J$10</f>
        <v>0.33399999999999996</v>
      </c>
      <c r="K160" s="297">
        <f>$K$10</f>
        <v>1.32</v>
      </c>
      <c r="L160" s="298">
        <f>$L$10</f>
        <v>6.6000000000000003E-2</v>
      </c>
      <c r="M160" s="298">
        <f>$M$10</f>
        <v>7.2112676056338032E-2</v>
      </c>
      <c r="N160" s="297">
        <f>$N$10</f>
        <v>1.998</v>
      </c>
    </row>
    <row r="161" spans="2:14" x14ac:dyDescent="0.2">
      <c r="B161" s="296" t="s">
        <v>107</v>
      </c>
      <c r="C161" s="297">
        <f>$C$11</f>
        <v>0.16700000000000001</v>
      </c>
      <c r="D161" s="297">
        <f>$D$11</f>
        <v>0.17599999999999999</v>
      </c>
      <c r="E161" s="297">
        <f>$E$11</f>
        <v>3.1E-2</v>
      </c>
      <c r="F161" s="297">
        <f>$F$11</f>
        <v>0.374</v>
      </c>
      <c r="G161" s="297">
        <f>$G$11</f>
        <v>0.08</v>
      </c>
      <c r="H161" s="297">
        <f>$H$11</f>
        <v>0.42</v>
      </c>
      <c r="I161" s="297">
        <f>$I$11</f>
        <v>6.3E-2</v>
      </c>
      <c r="J161" s="297">
        <f>$J$11</f>
        <v>0.56299999999999994</v>
      </c>
      <c r="K161" s="297">
        <f>$K$11</f>
        <v>0.88</v>
      </c>
      <c r="L161" s="298">
        <f>$L$11</f>
        <v>4.3999999999999997E-2</v>
      </c>
      <c r="M161" s="298">
        <f>$M$11</f>
        <v>0.21</v>
      </c>
      <c r="N161" s="297">
        <f>$N$11</f>
        <v>1.8170000000000002</v>
      </c>
    </row>
    <row r="162" spans="2:14" x14ac:dyDescent="0.2">
      <c r="B162" s="296" t="s">
        <v>28</v>
      </c>
      <c r="C162" s="297">
        <f>$C$13</f>
        <v>6.55</v>
      </c>
      <c r="D162" s="297">
        <f>$D$13</f>
        <v>4.42</v>
      </c>
      <c r="E162" s="297">
        <f>$E$13</f>
        <v>1.7</v>
      </c>
      <c r="F162" s="297">
        <f>$F$13</f>
        <v>12.669999999999998</v>
      </c>
      <c r="G162" s="297">
        <f>$G$13</f>
        <v>2.46</v>
      </c>
      <c r="H162" s="297">
        <f>$H$13</f>
        <v>2.86</v>
      </c>
      <c r="I162" s="297">
        <f>$I$13</f>
        <v>0.43</v>
      </c>
      <c r="J162" s="297">
        <f>$J$13</f>
        <v>5.75</v>
      </c>
      <c r="K162" s="297">
        <f>$K$13</f>
        <v>2.0499999999999998</v>
      </c>
      <c r="L162" s="298">
        <f>$L$13</f>
        <v>0.27625443037974684</v>
      </c>
      <c r="M162" s="298">
        <f>$M$13</f>
        <v>1.43</v>
      </c>
      <c r="N162" s="297">
        <f>$N$13</f>
        <v>20.47</v>
      </c>
    </row>
    <row r="163" spans="2:14" x14ac:dyDescent="0.2">
      <c r="B163" s="136" t="s">
        <v>300</v>
      </c>
      <c r="C163" s="307"/>
      <c r="D163" s="307"/>
      <c r="E163" s="307"/>
      <c r="F163" s="307"/>
      <c r="G163" s="307"/>
      <c r="H163" s="307"/>
      <c r="I163" s="307"/>
      <c r="J163" s="307"/>
      <c r="K163" s="307"/>
      <c r="L163" s="308"/>
      <c r="M163" s="308"/>
      <c r="N163" s="309"/>
    </row>
    <row r="164" spans="2:14" x14ac:dyDescent="0.2">
      <c r="B164" s="296" t="s">
        <v>108</v>
      </c>
      <c r="C164" s="297">
        <f>$C$12</f>
        <v>1.83</v>
      </c>
      <c r="D164" s="297">
        <f>$D$12</f>
        <v>1.21</v>
      </c>
      <c r="E164" s="297">
        <f>$E$12</f>
        <v>0.38</v>
      </c>
      <c r="F164" s="297">
        <f>$F$12</f>
        <v>3.42</v>
      </c>
      <c r="G164" s="297">
        <f>$G$12</f>
        <v>1.35</v>
      </c>
      <c r="H164" s="297">
        <f>$H$12</f>
        <v>3.45</v>
      </c>
      <c r="I164" s="297">
        <f>$I$12</f>
        <v>0.52</v>
      </c>
      <c r="J164" s="297">
        <f>$J$12</f>
        <v>5.32</v>
      </c>
      <c r="K164" s="297">
        <f>$K$12</f>
        <v>1.42</v>
      </c>
      <c r="L164" s="298">
        <f>$L$12</f>
        <v>9.6789873417721509E-2</v>
      </c>
      <c r="M164" s="298">
        <f>$M$12</f>
        <v>1.7250000000000001</v>
      </c>
      <c r="N164" s="297">
        <f>$N$12</f>
        <v>10.16</v>
      </c>
    </row>
    <row r="165" spans="2:14" x14ac:dyDescent="0.2">
      <c r="B165" s="296" t="s">
        <v>109</v>
      </c>
      <c r="C165" s="297">
        <f>$C$15</f>
        <v>0.89</v>
      </c>
      <c r="D165" s="297">
        <f>$D$15</f>
        <v>0.88</v>
      </c>
      <c r="E165" s="297">
        <f>$E$15</f>
        <v>0.13</v>
      </c>
      <c r="F165" s="297">
        <f>$F$15</f>
        <v>1.9</v>
      </c>
      <c r="G165" s="297">
        <f>$G$15</f>
        <v>0.63</v>
      </c>
      <c r="H165" s="297">
        <f>$H$15</f>
        <v>2.94</v>
      </c>
      <c r="I165" s="297">
        <f>$I$15</f>
        <v>0.44</v>
      </c>
      <c r="J165" s="297">
        <f>$J$15</f>
        <v>4.01</v>
      </c>
      <c r="K165" s="297">
        <f>$K$15</f>
        <v>1.32</v>
      </c>
      <c r="L165" s="298">
        <f>$L$15</f>
        <v>6.6543037974683555E-2</v>
      </c>
      <c r="M165" s="298">
        <f>$M$15</f>
        <v>1.47</v>
      </c>
      <c r="N165" s="297">
        <f>$N$15</f>
        <v>7.23</v>
      </c>
    </row>
    <row r="166" spans="2:14" x14ac:dyDescent="0.2">
      <c r="B166" s="296" t="s">
        <v>109</v>
      </c>
      <c r="C166" s="297">
        <f>$C$15</f>
        <v>0.89</v>
      </c>
      <c r="D166" s="297">
        <f>$D$15</f>
        <v>0.88</v>
      </c>
      <c r="E166" s="297">
        <f>$E$15</f>
        <v>0.13</v>
      </c>
      <c r="F166" s="297">
        <f>$F$15</f>
        <v>1.9</v>
      </c>
      <c r="G166" s="297">
        <f>$G$15</f>
        <v>0.63</v>
      </c>
      <c r="H166" s="297">
        <f>$H$15</f>
        <v>2.94</v>
      </c>
      <c r="I166" s="297">
        <f>$I$15</f>
        <v>0.44</v>
      </c>
      <c r="J166" s="297">
        <f>$J$15</f>
        <v>4.01</v>
      </c>
      <c r="K166" s="297">
        <f>$K$15</f>
        <v>1.32</v>
      </c>
      <c r="L166" s="298">
        <f>$L$15</f>
        <v>6.6543037974683555E-2</v>
      </c>
      <c r="M166" s="298">
        <f>$M$15</f>
        <v>1.47</v>
      </c>
      <c r="N166" s="297">
        <f>$N$15</f>
        <v>7.23</v>
      </c>
    </row>
    <row r="167" spans="2:14" x14ac:dyDescent="0.2">
      <c r="B167" s="296" t="s">
        <v>83</v>
      </c>
      <c r="C167" s="297">
        <f>$C$19</f>
        <v>1.91</v>
      </c>
      <c r="D167" s="297">
        <f>$D$19</f>
        <v>1.26</v>
      </c>
      <c r="E167" s="297">
        <f>$E$19</f>
        <v>0.15</v>
      </c>
      <c r="F167" s="297">
        <f>$F$19</f>
        <v>3.32</v>
      </c>
      <c r="G167" s="297">
        <f>$G$19</f>
        <v>1.04</v>
      </c>
      <c r="H167" s="297">
        <f>$H$19</f>
        <v>2.31</v>
      </c>
      <c r="I167" s="297">
        <f>$I$19</f>
        <v>0.35</v>
      </c>
      <c r="J167" s="297">
        <f>$J$19</f>
        <v>3.7</v>
      </c>
      <c r="K167" s="297">
        <f>$K$19</f>
        <v>0.95</v>
      </c>
      <c r="L167" s="298">
        <f>$L$19</f>
        <v>6.3854430379746835E-2</v>
      </c>
      <c r="M167" s="298">
        <f>$M$19</f>
        <v>1.155</v>
      </c>
      <c r="N167" s="297">
        <f>$N$19</f>
        <v>7.9700000000000006</v>
      </c>
    </row>
    <row r="168" spans="2:14" x14ac:dyDescent="0.2">
      <c r="B168" s="429" t="s">
        <v>448</v>
      </c>
      <c r="C168" s="297">
        <f>$C$8</f>
        <v>0.79300000000000004</v>
      </c>
      <c r="D168" s="297">
        <f>$D$8</f>
        <v>0.623</v>
      </c>
      <c r="E168" s="297">
        <f>$E$8</f>
        <v>0.09</v>
      </c>
      <c r="F168" s="297">
        <f>$F$8</f>
        <v>1.506</v>
      </c>
      <c r="G168" s="297">
        <f>$G$8</f>
        <v>0.41799999999999998</v>
      </c>
      <c r="H168" s="297">
        <f>$H$8</f>
        <v>1.4</v>
      </c>
      <c r="I168" s="297">
        <f>$I$8</f>
        <v>0.21</v>
      </c>
      <c r="J168" s="297">
        <f>$J$8</f>
        <v>2.028</v>
      </c>
      <c r="K168" s="297">
        <f>$K$8</f>
        <v>0.88</v>
      </c>
      <c r="L168" s="298">
        <f>$L$8</f>
        <v>4.3999999999999997E-2</v>
      </c>
      <c r="M168" s="298">
        <f>$M$8</f>
        <v>0.7</v>
      </c>
      <c r="N168" s="297">
        <f>$N$8</f>
        <v>4.4139999999999997</v>
      </c>
    </row>
    <row r="169" spans="2:14" x14ac:dyDescent="0.2">
      <c r="B169" s="136" t="s">
        <v>430</v>
      </c>
      <c r="C169" s="297"/>
      <c r="D169" s="297"/>
      <c r="E169" s="297"/>
      <c r="F169" s="297"/>
      <c r="G169" s="297"/>
      <c r="H169" s="297"/>
      <c r="I169" s="297"/>
      <c r="J169" s="297"/>
      <c r="K169" s="297"/>
      <c r="L169" s="298"/>
      <c r="M169" s="298"/>
      <c r="N169" s="297"/>
    </row>
    <row r="170" spans="2:14" x14ac:dyDescent="0.2">
      <c r="B170" s="296" t="s">
        <v>84</v>
      </c>
      <c r="C170" s="297">
        <f>$C$14</f>
        <v>0.96</v>
      </c>
      <c r="D170" s="297">
        <f>$D$14</f>
        <v>0.81</v>
      </c>
      <c r="E170" s="297">
        <f>$E$14</f>
        <v>0.11</v>
      </c>
      <c r="F170" s="297">
        <f>$F$14</f>
        <v>1.8800000000000001</v>
      </c>
      <c r="G170" s="297">
        <f>$G$14</f>
        <v>0.86</v>
      </c>
      <c r="H170" s="297">
        <f>$H$14</f>
        <v>0.85</v>
      </c>
      <c r="I170" s="297">
        <f>$I$14</f>
        <v>0.13</v>
      </c>
      <c r="J170" s="297">
        <f>$J$14</f>
        <v>1.8399999999999999</v>
      </c>
      <c r="K170" s="297">
        <f>$K$14</f>
        <v>0.59</v>
      </c>
      <c r="L170" s="298">
        <f>$L$14</f>
        <v>3.4279746835443041E-2</v>
      </c>
      <c r="M170" s="298">
        <f>$M$14</f>
        <v>0.42499999999999999</v>
      </c>
      <c r="N170" s="297">
        <f>$N$14</f>
        <v>4.3099999999999996</v>
      </c>
    </row>
    <row r="171" spans="2:14" x14ac:dyDescent="0.2">
      <c r="B171" s="296" t="s">
        <v>447</v>
      </c>
      <c r="C171" s="297">
        <f>$C$21</f>
        <v>0.44</v>
      </c>
      <c r="D171" s="297">
        <f>$D$21</f>
        <v>0.4</v>
      </c>
      <c r="E171" s="297">
        <f>$E$21</f>
        <v>0.06</v>
      </c>
      <c r="F171" s="297">
        <f>$F$21</f>
        <v>0.90000000000000013</v>
      </c>
      <c r="G171" s="297">
        <f>$G$21</f>
        <v>0.24</v>
      </c>
      <c r="H171" s="297">
        <f>$H$21</f>
        <v>0.55000000000000004</v>
      </c>
      <c r="I171" s="297">
        <f>$I$21</f>
        <v>0.08</v>
      </c>
      <c r="J171" s="297">
        <f>$J$21</f>
        <v>0.87</v>
      </c>
      <c r="K171" s="297">
        <f>$K$21</f>
        <v>0.43</v>
      </c>
      <c r="L171" s="298">
        <f>$L$21</f>
        <v>2.4869620253164557E-2</v>
      </c>
      <c r="M171" s="298">
        <f>$M$21</f>
        <v>0.27500000000000002</v>
      </c>
      <c r="N171" s="297">
        <f>$N$21</f>
        <v>2.2000000000000002</v>
      </c>
    </row>
    <row r="172" spans="2:14" x14ac:dyDescent="0.2">
      <c r="B172" s="301" t="s">
        <v>11</v>
      </c>
      <c r="C172" s="302">
        <f t="shared" ref="C172:M172" si="13">SUM(C156:C171)</f>
        <v>17.040000000000003</v>
      </c>
      <c r="D172" s="302">
        <f t="shared" si="13"/>
        <v>12.641</v>
      </c>
      <c r="E172" s="302">
        <f t="shared" si="13"/>
        <v>5.0629999999999997</v>
      </c>
      <c r="F172" s="302">
        <f t="shared" si="13"/>
        <v>34.744</v>
      </c>
      <c r="G172" s="302">
        <f t="shared" si="13"/>
        <v>9.347999999999999</v>
      </c>
      <c r="H172" s="302">
        <f t="shared" si="13"/>
        <v>21.555999999999997</v>
      </c>
      <c r="I172" s="302">
        <f t="shared" si="13"/>
        <v>3.2309999999999999</v>
      </c>
      <c r="J172" s="302">
        <f t="shared" si="13"/>
        <v>34.134999999999991</v>
      </c>
      <c r="K172" s="302">
        <f t="shared" si="13"/>
        <v>16.43</v>
      </c>
      <c r="L172" s="303">
        <f t="shared" si="13"/>
        <v>0.99370317721518975</v>
      </c>
      <c r="M172" s="303">
        <f t="shared" si="13"/>
        <v>10.385915492957746</v>
      </c>
      <c r="N172" s="302">
        <f>SUM(N156:N171)</f>
        <v>85.309000000000012</v>
      </c>
    </row>
    <row r="175" spans="2:14" ht="15" x14ac:dyDescent="0.25">
      <c r="B175" s="592" t="s">
        <v>558</v>
      </c>
      <c r="C175" s="592"/>
      <c r="D175" s="592"/>
      <c r="E175" s="592"/>
      <c r="F175" s="592"/>
      <c r="G175" s="592"/>
      <c r="H175" s="592"/>
      <c r="I175" s="592"/>
      <c r="J175" s="592"/>
      <c r="K175" s="592"/>
      <c r="L175" s="592"/>
      <c r="M175" s="592"/>
      <c r="N175" s="592"/>
    </row>
    <row r="176" spans="2:14" ht="12.75" customHeight="1" x14ac:dyDescent="0.2">
      <c r="B176" s="283"/>
      <c r="C176" s="597" t="s">
        <v>48</v>
      </c>
      <c r="D176" s="598"/>
      <c r="E176" s="598"/>
      <c r="F176" s="599"/>
      <c r="G176" s="600" t="s">
        <v>110</v>
      </c>
      <c r="H176" s="601"/>
      <c r="I176" s="601"/>
      <c r="J176" s="602"/>
      <c r="K176" s="593" t="s">
        <v>45</v>
      </c>
      <c r="L176" s="594"/>
      <c r="M176" s="284" t="s">
        <v>2</v>
      </c>
      <c r="N176" s="595" t="s">
        <v>111</v>
      </c>
    </row>
    <row r="177" spans="2:14" ht="36" x14ac:dyDescent="0.2">
      <c r="B177" s="285"/>
      <c r="C177" s="286" t="s">
        <v>317</v>
      </c>
      <c r="D177" s="306" t="s">
        <v>112</v>
      </c>
      <c r="E177" s="616" t="s">
        <v>351</v>
      </c>
      <c r="F177" s="286" t="s">
        <v>114</v>
      </c>
      <c r="G177" s="287" t="s">
        <v>104</v>
      </c>
      <c r="H177" s="287" t="s">
        <v>105</v>
      </c>
      <c r="I177" s="310" t="s">
        <v>336</v>
      </c>
      <c r="J177" s="287" t="s">
        <v>215</v>
      </c>
      <c r="K177" s="322"/>
      <c r="L177" s="322"/>
      <c r="M177" s="286"/>
      <c r="N177" s="596"/>
    </row>
    <row r="178" spans="2:14" ht="12.95" customHeight="1" x14ac:dyDescent="0.2">
      <c r="B178" s="289"/>
      <c r="C178" s="289"/>
      <c r="D178" s="289"/>
      <c r="E178" s="617"/>
      <c r="F178" s="291"/>
      <c r="G178" s="292"/>
      <c r="H178" s="292"/>
      <c r="I178" s="292"/>
      <c r="J178" s="292"/>
      <c r="K178" s="323" t="s">
        <v>227</v>
      </c>
      <c r="L178" s="323" t="s">
        <v>3</v>
      </c>
      <c r="M178" s="294" t="s">
        <v>4</v>
      </c>
      <c r="N178" s="295" t="s">
        <v>227</v>
      </c>
    </row>
    <row r="179" spans="2:14" x14ac:dyDescent="0.2">
      <c r="B179" s="296" t="s">
        <v>106</v>
      </c>
      <c r="C179" s="297">
        <f>$C$6</f>
        <v>0.85</v>
      </c>
      <c r="D179" s="297">
        <f>$D$6</f>
        <v>0.63</v>
      </c>
      <c r="E179" s="297">
        <f>$E$6</f>
        <v>0.64</v>
      </c>
      <c r="F179" s="297">
        <f>$F$6</f>
        <v>2.12</v>
      </c>
      <c r="G179" s="297">
        <f>$G$6</f>
        <v>0.24</v>
      </c>
      <c r="H179" s="297">
        <f>$H$6</f>
        <v>1.48</v>
      </c>
      <c r="I179" s="297">
        <f>$I$6</f>
        <v>0.22</v>
      </c>
      <c r="J179" s="297">
        <f>$J$6</f>
        <v>1.94</v>
      </c>
      <c r="K179" s="297">
        <f>$K$6</f>
        <v>2.4</v>
      </c>
      <c r="L179" s="298">
        <f>$L$6</f>
        <v>0.12</v>
      </c>
      <c r="M179" s="298">
        <f>$M$6</f>
        <v>0.41690140845070423</v>
      </c>
      <c r="N179" s="297">
        <f>$N$6</f>
        <v>6.46</v>
      </c>
    </row>
    <row r="180" spans="2:14" x14ac:dyDescent="0.2">
      <c r="B180" s="296" t="s">
        <v>423</v>
      </c>
      <c r="C180" s="297">
        <f>$C$22</f>
        <v>0.6</v>
      </c>
      <c r="D180" s="297">
        <f>$D$22</f>
        <v>0.69</v>
      </c>
      <c r="E180" s="297">
        <f>$E$22</f>
        <v>1.04</v>
      </c>
      <c r="F180" s="297">
        <f>$F$22</f>
        <v>2.33</v>
      </c>
      <c r="G180" s="297">
        <f>$G$22</f>
        <v>0.8</v>
      </c>
      <c r="H180" s="297">
        <f>$H$22</f>
        <v>1.75</v>
      </c>
      <c r="I180" s="297">
        <f>$I$22</f>
        <v>0.26</v>
      </c>
      <c r="J180" s="297">
        <f>$J$22</f>
        <v>2.8099999999999996</v>
      </c>
      <c r="K180" s="297">
        <f>$K$22</f>
        <v>2.11</v>
      </c>
      <c r="L180" s="298">
        <f>$L$22</f>
        <v>5.2569000000000005E-2</v>
      </c>
      <c r="M180" s="298">
        <f>$M$22</f>
        <v>0.875</v>
      </c>
      <c r="N180" s="297">
        <f>$N$22</f>
        <v>7.25</v>
      </c>
    </row>
    <row r="181" spans="2:14" x14ac:dyDescent="0.2">
      <c r="B181" s="296" t="s">
        <v>89</v>
      </c>
      <c r="C181" s="297">
        <f>$C$7</f>
        <v>0.48</v>
      </c>
      <c r="D181" s="297">
        <f>$D$7</f>
        <v>0.3</v>
      </c>
      <c r="E181" s="297">
        <f>$E$7</f>
        <v>0.44</v>
      </c>
      <c r="F181" s="297">
        <f>$F$7</f>
        <v>1.22</v>
      </c>
      <c r="G181" s="297">
        <f>$G$7</f>
        <v>0.4</v>
      </c>
      <c r="H181" s="297">
        <f>$H$7</f>
        <v>0.28999999999999998</v>
      </c>
      <c r="I181" s="297">
        <f>$I$7</f>
        <v>0.04</v>
      </c>
      <c r="J181" s="297">
        <f>$J$7</f>
        <v>0.73</v>
      </c>
      <c r="K181" s="297">
        <f>$K$7</f>
        <v>0.6</v>
      </c>
      <c r="L181" s="298">
        <f>$L$7</f>
        <v>0.03</v>
      </c>
      <c r="M181" s="298">
        <f>$M$7</f>
        <v>0.14499999999999999</v>
      </c>
      <c r="N181" s="297">
        <f>$N$7</f>
        <v>2.5499999999999998</v>
      </c>
    </row>
    <row r="182" spans="2:14" ht="12.95" customHeight="1" x14ac:dyDescent="0.2">
      <c r="B182" s="296" t="s">
        <v>90</v>
      </c>
      <c r="C182" s="297">
        <f>$C$9</f>
        <v>0.48</v>
      </c>
      <c r="D182" s="297">
        <f>$D$9</f>
        <v>0.24</v>
      </c>
      <c r="E182" s="297">
        <f>$E$9</f>
        <v>0.14000000000000001</v>
      </c>
      <c r="F182" s="297">
        <f>$F$9</f>
        <v>0.86</v>
      </c>
      <c r="G182" s="297">
        <f>$G$9</f>
        <v>0.16</v>
      </c>
      <c r="H182" s="297">
        <f>$H$9</f>
        <v>0.06</v>
      </c>
      <c r="I182" s="297">
        <f>$I$9</f>
        <v>0.01</v>
      </c>
      <c r="J182" s="297">
        <f>$J$9</f>
        <v>0.23</v>
      </c>
      <c r="K182" s="297">
        <f>$K$9</f>
        <v>0.16</v>
      </c>
      <c r="L182" s="298">
        <f>$L$9</f>
        <v>8.0000000000000002E-3</v>
      </c>
      <c r="M182" s="298">
        <f>$M$9</f>
        <v>1.6901408450704227E-2</v>
      </c>
      <c r="N182" s="297">
        <f>$N$9</f>
        <v>1.25</v>
      </c>
    </row>
    <row r="183" spans="2:14" ht="12.95" customHeight="1" x14ac:dyDescent="0.2">
      <c r="B183" s="296" t="s">
        <v>79</v>
      </c>
      <c r="C183" s="297">
        <f>$C$10</f>
        <v>0.2</v>
      </c>
      <c r="D183" s="297">
        <f>$D$10</f>
        <v>0.122</v>
      </c>
      <c r="E183" s="297">
        <f>$E$10</f>
        <v>2.1999999999999999E-2</v>
      </c>
      <c r="F183" s="297">
        <f>$F$10</f>
        <v>0.34400000000000003</v>
      </c>
      <c r="G183" s="297">
        <f>$G$10</f>
        <v>0.04</v>
      </c>
      <c r="H183" s="297">
        <f>$H$10</f>
        <v>0.25600000000000001</v>
      </c>
      <c r="I183" s="297">
        <f>$I$10</f>
        <v>3.7999999999999999E-2</v>
      </c>
      <c r="J183" s="297">
        <f>$J$10</f>
        <v>0.33399999999999996</v>
      </c>
      <c r="K183" s="297">
        <f>$K$10</f>
        <v>1.32</v>
      </c>
      <c r="L183" s="298">
        <f>$L$10</f>
        <v>6.6000000000000003E-2</v>
      </c>
      <c r="M183" s="298">
        <f>$M$10</f>
        <v>7.2112676056338032E-2</v>
      </c>
      <c r="N183" s="297">
        <f>$N$10</f>
        <v>1.998</v>
      </c>
    </row>
    <row r="184" spans="2:14" ht="12.95" customHeight="1" x14ac:dyDescent="0.2">
      <c r="B184" s="296" t="s">
        <v>107</v>
      </c>
      <c r="C184" s="297">
        <f>$C$11</f>
        <v>0.16700000000000001</v>
      </c>
      <c r="D184" s="297">
        <f>$D$11</f>
        <v>0.17599999999999999</v>
      </c>
      <c r="E184" s="297">
        <f>$E$11</f>
        <v>3.1E-2</v>
      </c>
      <c r="F184" s="297">
        <f>$F$11</f>
        <v>0.374</v>
      </c>
      <c r="G184" s="297">
        <f>$G$11</f>
        <v>0.08</v>
      </c>
      <c r="H184" s="297">
        <f>$H$11</f>
        <v>0.42</v>
      </c>
      <c r="I184" s="297">
        <f>$I$11</f>
        <v>6.3E-2</v>
      </c>
      <c r="J184" s="297">
        <f>$J$11</f>
        <v>0.56299999999999994</v>
      </c>
      <c r="K184" s="297">
        <f>$K$11</f>
        <v>0.88</v>
      </c>
      <c r="L184" s="298">
        <f>$L$11</f>
        <v>4.3999999999999997E-2</v>
      </c>
      <c r="M184" s="298">
        <f>$M$11</f>
        <v>0.21</v>
      </c>
      <c r="N184" s="297">
        <f>$N$11</f>
        <v>1.8170000000000002</v>
      </c>
    </row>
    <row r="185" spans="2:14" x14ac:dyDescent="0.2">
      <c r="B185" s="296" t="s">
        <v>28</v>
      </c>
      <c r="C185" s="297">
        <f>$C$13</f>
        <v>6.55</v>
      </c>
      <c r="D185" s="297">
        <f>$D$13</f>
        <v>4.42</v>
      </c>
      <c r="E185" s="297">
        <f>$E$13</f>
        <v>1.7</v>
      </c>
      <c r="F185" s="297">
        <f>$F$13</f>
        <v>12.669999999999998</v>
      </c>
      <c r="G185" s="297">
        <f>$G$13</f>
        <v>2.46</v>
      </c>
      <c r="H185" s="297">
        <f>$H$13</f>
        <v>2.86</v>
      </c>
      <c r="I185" s="297">
        <f>$I$13</f>
        <v>0.43</v>
      </c>
      <c r="J185" s="297">
        <f>$J$13</f>
        <v>5.75</v>
      </c>
      <c r="K185" s="297">
        <f>$K$13</f>
        <v>2.0499999999999998</v>
      </c>
      <c r="L185" s="298">
        <f>$L$13</f>
        <v>0.27625443037974684</v>
      </c>
      <c r="M185" s="298">
        <f>$M$13</f>
        <v>1.43</v>
      </c>
      <c r="N185" s="297">
        <f>$N$13</f>
        <v>20.47</v>
      </c>
    </row>
    <row r="186" spans="2:14" x14ac:dyDescent="0.2">
      <c r="B186" s="136" t="s">
        <v>300</v>
      </c>
      <c r="C186" s="307"/>
      <c r="D186" s="307"/>
      <c r="E186" s="307"/>
      <c r="F186" s="307"/>
      <c r="G186" s="307"/>
      <c r="H186" s="307"/>
      <c r="I186" s="307"/>
      <c r="J186" s="307"/>
      <c r="K186" s="307"/>
      <c r="L186" s="308"/>
      <c r="M186" s="308"/>
      <c r="N186" s="309"/>
    </row>
    <row r="187" spans="2:14" x14ac:dyDescent="0.2">
      <c r="B187" s="296" t="str">
        <f t="shared" ref="B187:N187" si="14">B17</f>
        <v>23' Chisel Plow w/ 350HP</v>
      </c>
      <c r="C187" s="297">
        <f t="shared" si="14"/>
        <v>2.95</v>
      </c>
      <c r="D187" s="297">
        <f t="shared" si="14"/>
        <v>2.23</v>
      </c>
      <c r="E187" s="297">
        <f t="shared" si="14"/>
        <v>0.27</v>
      </c>
      <c r="F187" s="297">
        <f t="shared" si="14"/>
        <v>5.4499999999999993</v>
      </c>
      <c r="G187" s="297">
        <f t="shared" si="14"/>
        <v>1.91</v>
      </c>
      <c r="H187" s="297">
        <f t="shared" si="14"/>
        <v>4.4800000000000004</v>
      </c>
      <c r="I187" s="297">
        <f t="shared" si="14"/>
        <v>0.67</v>
      </c>
      <c r="J187" s="297">
        <f t="shared" si="14"/>
        <v>7.0600000000000005</v>
      </c>
      <c r="K187" s="297">
        <f t="shared" si="14"/>
        <v>1.83</v>
      </c>
      <c r="L187" s="297">
        <f t="shared" si="14"/>
        <v>0.12502025316455698</v>
      </c>
      <c r="M187" s="297">
        <f t="shared" si="14"/>
        <v>2.2400000000000002</v>
      </c>
      <c r="N187" s="297">
        <f t="shared" si="14"/>
        <v>14.34</v>
      </c>
    </row>
    <row r="188" spans="2:14" x14ac:dyDescent="0.2">
      <c r="B188" s="296" t="s">
        <v>109</v>
      </c>
      <c r="C188" s="297">
        <f>$C$15</f>
        <v>0.89</v>
      </c>
      <c r="D188" s="297">
        <f>$D$15</f>
        <v>0.88</v>
      </c>
      <c r="E188" s="297">
        <f>$E$15</f>
        <v>0.13</v>
      </c>
      <c r="F188" s="297">
        <f>$F$15</f>
        <v>1.9</v>
      </c>
      <c r="G188" s="297">
        <f>$G$15</f>
        <v>0.63</v>
      </c>
      <c r="H188" s="297">
        <f>$H$15</f>
        <v>2.94</v>
      </c>
      <c r="I188" s="297">
        <f>$I$15</f>
        <v>0.44</v>
      </c>
      <c r="J188" s="297">
        <f>$J$15</f>
        <v>4.01</v>
      </c>
      <c r="K188" s="297">
        <f>$K$15</f>
        <v>1.32</v>
      </c>
      <c r="L188" s="298">
        <f>$L$15</f>
        <v>6.6543037974683555E-2</v>
      </c>
      <c r="M188" s="298">
        <f>$M$15</f>
        <v>1.47</v>
      </c>
      <c r="N188" s="297">
        <f>$N$15</f>
        <v>7.23</v>
      </c>
    </row>
    <row r="189" spans="2:14" x14ac:dyDescent="0.2">
      <c r="B189" s="296" t="s">
        <v>109</v>
      </c>
      <c r="C189" s="297">
        <f>$C$15</f>
        <v>0.89</v>
      </c>
      <c r="D189" s="297">
        <f>$D$15</f>
        <v>0.88</v>
      </c>
      <c r="E189" s="297">
        <f>$E$15</f>
        <v>0.13</v>
      </c>
      <c r="F189" s="297">
        <f>$F$15</f>
        <v>1.9</v>
      </c>
      <c r="G189" s="297">
        <f>$G$15</f>
        <v>0.63</v>
      </c>
      <c r="H189" s="297">
        <f>$H$15</f>
        <v>2.94</v>
      </c>
      <c r="I189" s="297">
        <f>$I$15</f>
        <v>0.44</v>
      </c>
      <c r="J189" s="297">
        <f>$J$15</f>
        <v>4.01</v>
      </c>
      <c r="K189" s="297">
        <f>$K$15</f>
        <v>1.32</v>
      </c>
      <c r="L189" s="298">
        <f>$L$15</f>
        <v>6.6543037974683555E-2</v>
      </c>
      <c r="M189" s="298">
        <f>$M$15</f>
        <v>1.47</v>
      </c>
      <c r="N189" s="297">
        <f>$N$15</f>
        <v>7.23</v>
      </c>
    </row>
    <row r="190" spans="2:14" x14ac:dyDescent="0.2">
      <c r="B190" s="296" t="s">
        <v>108</v>
      </c>
      <c r="C190" s="297">
        <f>$C$12</f>
        <v>1.83</v>
      </c>
      <c r="D190" s="297">
        <f>$D$12</f>
        <v>1.21</v>
      </c>
      <c r="E190" s="297">
        <f>$E$12</f>
        <v>0.38</v>
      </c>
      <c r="F190" s="297">
        <f>$F$12</f>
        <v>3.42</v>
      </c>
      <c r="G190" s="297">
        <f>$G$12</f>
        <v>1.35</v>
      </c>
      <c r="H190" s="297">
        <f>$H$12</f>
        <v>3.45</v>
      </c>
      <c r="I190" s="297">
        <f>$I$12</f>
        <v>0.52</v>
      </c>
      <c r="J190" s="297">
        <f>$J$12</f>
        <v>5.32</v>
      </c>
      <c r="K190" s="297">
        <f>$K$12</f>
        <v>1.42</v>
      </c>
      <c r="L190" s="298">
        <f>$L$12</f>
        <v>9.6789873417721509E-2</v>
      </c>
      <c r="M190" s="298">
        <f>$M$12</f>
        <v>1.7250000000000001</v>
      </c>
      <c r="N190" s="297">
        <f>$N$12</f>
        <v>10.16</v>
      </c>
    </row>
    <row r="191" spans="2:14" x14ac:dyDescent="0.2">
      <c r="B191" s="296" t="s">
        <v>437</v>
      </c>
      <c r="C191" s="297">
        <f>$C$8</f>
        <v>0.79300000000000004</v>
      </c>
      <c r="D191" s="297">
        <f>$D$8</f>
        <v>0.623</v>
      </c>
      <c r="E191" s="297">
        <f>$E$8</f>
        <v>0.09</v>
      </c>
      <c r="F191" s="297">
        <f>$F$8</f>
        <v>1.506</v>
      </c>
      <c r="G191" s="297">
        <f>$G$8</f>
        <v>0.41799999999999998</v>
      </c>
      <c r="H191" s="297">
        <f>$H$8</f>
        <v>1.4</v>
      </c>
      <c r="I191" s="297">
        <f>$I$8</f>
        <v>0.21</v>
      </c>
      <c r="J191" s="297">
        <f>$J$8</f>
        <v>2.028</v>
      </c>
      <c r="K191" s="297">
        <f>$K$8</f>
        <v>0.88</v>
      </c>
      <c r="L191" s="298">
        <f>$L$8</f>
        <v>4.3999999999999997E-2</v>
      </c>
      <c r="M191" s="298">
        <f>$M$8</f>
        <v>0.7</v>
      </c>
      <c r="N191" s="297">
        <f>$N$8</f>
        <v>4.4139999999999997</v>
      </c>
    </row>
    <row r="192" spans="2:14" x14ac:dyDescent="0.2">
      <c r="B192" s="136" t="s">
        <v>430</v>
      </c>
      <c r="C192" s="297"/>
      <c r="D192" s="297"/>
      <c r="E192" s="297"/>
      <c r="F192" s="297"/>
      <c r="G192" s="297"/>
      <c r="H192" s="297"/>
      <c r="I192" s="297"/>
      <c r="J192" s="297"/>
      <c r="K192" s="297"/>
      <c r="L192" s="298"/>
      <c r="M192" s="298"/>
      <c r="N192" s="297"/>
    </row>
    <row r="193" spans="2:14" x14ac:dyDescent="0.2">
      <c r="B193" s="296" t="s">
        <v>447</v>
      </c>
      <c r="C193" s="297">
        <f>$C$21</f>
        <v>0.44</v>
      </c>
      <c r="D193" s="297">
        <f>$D$21</f>
        <v>0.4</v>
      </c>
      <c r="E193" s="297">
        <f>$E$21</f>
        <v>0.06</v>
      </c>
      <c r="F193" s="297">
        <f>$F$21</f>
        <v>0.90000000000000013</v>
      </c>
      <c r="G193" s="297">
        <f>$G$21</f>
        <v>0.24</v>
      </c>
      <c r="H193" s="297">
        <f>$H$21</f>
        <v>0.55000000000000004</v>
      </c>
      <c r="I193" s="297">
        <f>$I$21</f>
        <v>0.08</v>
      </c>
      <c r="J193" s="297">
        <f>$J$21</f>
        <v>0.87</v>
      </c>
      <c r="K193" s="297">
        <f>$K$21</f>
        <v>0.43</v>
      </c>
      <c r="L193" s="298">
        <f>$L$21</f>
        <v>2.4869620253164557E-2</v>
      </c>
      <c r="M193" s="298">
        <f>$M$21</f>
        <v>0.27500000000000002</v>
      </c>
      <c r="N193" s="297">
        <f>$N$21</f>
        <v>2.2000000000000002</v>
      </c>
    </row>
    <row r="194" spans="2:14" x14ac:dyDescent="0.2">
      <c r="B194" s="296" t="s">
        <v>447</v>
      </c>
      <c r="C194" s="297">
        <f>$C$21</f>
        <v>0.44</v>
      </c>
      <c r="D194" s="297">
        <f>$D$21</f>
        <v>0.4</v>
      </c>
      <c r="E194" s="297">
        <f>$E$21</f>
        <v>0.06</v>
      </c>
      <c r="F194" s="297">
        <f>$F$21</f>
        <v>0.90000000000000013</v>
      </c>
      <c r="G194" s="297">
        <f>$G$21</f>
        <v>0.24</v>
      </c>
      <c r="H194" s="297">
        <f>$H$21</f>
        <v>0.55000000000000004</v>
      </c>
      <c r="I194" s="297">
        <f>$I$21</f>
        <v>0.08</v>
      </c>
      <c r="J194" s="297">
        <f>$J$21</f>
        <v>0.87</v>
      </c>
      <c r="K194" s="297">
        <f>$K$21</f>
        <v>0.43</v>
      </c>
      <c r="L194" s="298">
        <f>$L$21</f>
        <v>2.4869620253164557E-2</v>
      </c>
      <c r="M194" s="298">
        <f>$M$21</f>
        <v>0.27500000000000002</v>
      </c>
      <c r="N194" s="297">
        <f>$N$21</f>
        <v>2.2000000000000002</v>
      </c>
    </row>
    <row r="195" spans="2:14" x14ac:dyDescent="0.2">
      <c r="B195" s="296" t="s">
        <v>447</v>
      </c>
      <c r="C195" s="297">
        <f>$C$21</f>
        <v>0.44</v>
      </c>
      <c r="D195" s="297">
        <f>$D$21</f>
        <v>0.4</v>
      </c>
      <c r="E195" s="297">
        <f>$E$21</f>
        <v>0.06</v>
      </c>
      <c r="F195" s="297">
        <f>$F$21</f>
        <v>0.90000000000000013</v>
      </c>
      <c r="G195" s="297">
        <f>$G$21</f>
        <v>0.24</v>
      </c>
      <c r="H195" s="297">
        <f>$H$21</f>
        <v>0.55000000000000004</v>
      </c>
      <c r="I195" s="297">
        <f>$I$21</f>
        <v>0.08</v>
      </c>
      <c r="J195" s="297">
        <f>$J$21</f>
        <v>0.87</v>
      </c>
      <c r="K195" s="297">
        <f>$K$21</f>
        <v>0.43</v>
      </c>
      <c r="L195" s="298">
        <f>$L$21</f>
        <v>2.4869620253164557E-2</v>
      </c>
      <c r="M195" s="298">
        <f>$M$21</f>
        <v>0.27500000000000002</v>
      </c>
      <c r="N195" s="297">
        <f>$N$21</f>
        <v>2.2000000000000002</v>
      </c>
    </row>
    <row r="196" spans="2:14" x14ac:dyDescent="0.2">
      <c r="B196" s="301" t="s">
        <v>11</v>
      </c>
      <c r="C196" s="302">
        <f t="shared" ref="C196:N196" si="15">SUM(C179:C195)</f>
        <v>18.000000000000007</v>
      </c>
      <c r="D196" s="302">
        <f t="shared" si="15"/>
        <v>13.601000000000003</v>
      </c>
      <c r="E196" s="302">
        <f t="shared" si="15"/>
        <v>5.1929999999999978</v>
      </c>
      <c r="F196" s="302">
        <f t="shared" si="15"/>
        <v>36.79399999999999</v>
      </c>
      <c r="G196" s="302">
        <f t="shared" si="15"/>
        <v>9.8379999999999992</v>
      </c>
      <c r="H196" s="302">
        <f t="shared" si="15"/>
        <v>23.975999999999999</v>
      </c>
      <c r="I196" s="302">
        <f t="shared" si="15"/>
        <v>3.581</v>
      </c>
      <c r="J196" s="302">
        <f t="shared" si="15"/>
        <v>37.394999999999989</v>
      </c>
      <c r="K196" s="302">
        <f t="shared" si="15"/>
        <v>17.579999999999998</v>
      </c>
      <c r="L196" s="303">
        <f t="shared" si="15"/>
        <v>1.0703284936708863</v>
      </c>
      <c r="M196" s="303">
        <f t="shared" si="15"/>
        <v>11.595915492957745</v>
      </c>
      <c r="N196" s="302">
        <f t="shared" si="15"/>
        <v>91.76900000000002</v>
      </c>
    </row>
    <row r="198" spans="2:14" ht="15" x14ac:dyDescent="0.25">
      <c r="B198" s="592" t="s">
        <v>559</v>
      </c>
      <c r="C198" s="592"/>
      <c r="D198" s="592"/>
      <c r="E198" s="592"/>
      <c r="F198" s="592"/>
      <c r="G198" s="592"/>
      <c r="H198" s="592"/>
      <c r="I198" s="592"/>
      <c r="J198" s="592"/>
      <c r="K198" s="592"/>
      <c r="L198" s="592"/>
      <c r="M198" s="592"/>
      <c r="N198" s="592"/>
    </row>
    <row r="199" spans="2:14" ht="12.75" customHeight="1" x14ac:dyDescent="0.2">
      <c r="B199" s="283"/>
      <c r="C199" s="597" t="s">
        <v>48</v>
      </c>
      <c r="D199" s="598"/>
      <c r="E199" s="598"/>
      <c r="F199" s="599"/>
      <c r="G199" s="600" t="s">
        <v>110</v>
      </c>
      <c r="H199" s="601"/>
      <c r="I199" s="601"/>
      <c r="J199" s="602"/>
      <c r="K199" s="593" t="s">
        <v>45</v>
      </c>
      <c r="L199" s="594"/>
      <c r="M199" s="284" t="s">
        <v>2</v>
      </c>
      <c r="N199" s="595" t="s">
        <v>111</v>
      </c>
    </row>
    <row r="200" spans="2:14" ht="36" x14ac:dyDescent="0.2">
      <c r="B200" s="285"/>
      <c r="C200" s="286" t="s">
        <v>317</v>
      </c>
      <c r="D200" s="306" t="s">
        <v>112</v>
      </c>
      <c r="E200" s="616" t="s">
        <v>351</v>
      </c>
      <c r="F200" s="286" t="s">
        <v>114</v>
      </c>
      <c r="G200" s="287" t="s">
        <v>104</v>
      </c>
      <c r="H200" s="287" t="s">
        <v>105</v>
      </c>
      <c r="I200" s="310" t="s">
        <v>336</v>
      </c>
      <c r="J200" s="287" t="s">
        <v>215</v>
      </c>
      <c r="K200" s="322"/>
      <c r="L200" s="322"/>
      <c r="M200" s="286"/>
      <c r="N200" s="596"/>
    </row>
    <row r="201" spans="2:14" x14ac:dyDescent="0.2">
      <c r="B201" s="289"/>
      <c r="C201" s="289"/>
      <c r="D201" s="289"/>
      <c r="E201" s="617"/>
      <c r="F201" s="291"/>
      <c r="G201" s="292"/>
      <c r="H201" s="292"/>
      <c r="I201" s="292"/>
      <c r="J201" s="292"/>
      <c r="K201" s="323" t="s">
        <v>227</v>
      </c>
      <c r="L201" s="323" t="s">
        <v>3</v>
      </c>
      <c r="M201" s="294" t="s">
        <v>4</v>
      </c>
      <c r="N201" s="295" t="s">
        <v>227</v>
      </c>
    </row>
    <row r="202" spans="2:14" x14ac:dyDescent="0.2">
      <c r="B202" s="296" t="s">
        <v>106</v>
      </c>
      <c r="C202" s="297">
        <f>$C$6</f>
        <v>0.85</v>
      </c>
      <c r="D202" s="297">
        <f>$D$6</f>
        <v>0.63</v>
      </c>
      <c r="E202" s="297">
        <f>$E$6</f>
        <v>0.64</v>
      </c>
      <c r="F202" s="297">
        <f>$F$6</f>
        <v>2.12</v>
      </c>
      <c r="G202" s="297">
        <f>$G$6</f>
        <v>0.24</v>
      </c>
      <c r="H202" s="297">
        <f>$H$6</f>
        <v>1.48</v>
      </c>
      <c r="I202" s="297">
        <f>$I$6</f>
        <v>0.22</v>
      </c>
      <c r="J202" s="297">
        <f>$J$6</f>
        <v>1.94</v>
      </c>
      <c r="K202" s="297">
        <f>$K$6</f>
        <v>2.4</v>
      </c>
      <c r="L202" s="298">
        <f>$L$6</f>
        <v>0.12</v>
      </c>
      <c r="M202" s="298">
        <f>$M$6</f>
        <v>0.41690140845070423</v>
      </c>
      <c r="N202" s="297">
        <f>$N$6</f>
        <v>6.46</v>
      </c>
    </row>
    <row r="203" spans="2:14" x14ac:dyDescent="0.2">
      <c r="B203" s="296" t="s">
        <v>423</v>
      </c>
      <c r="C203" s="297">
        <f>$C$22</f>
        <v>0.6</v>
      </c>
      <c r="D203" s="297">
        <f>$D$22</f>
        <v>0.69</v>
      </c>
      <c r="E203" s="297">
        <f>$E$22</f>
        <v>1.04</v>
      </c>
      <c r="F203" s="297">
        <f>$F$22</f>
        <v>2.33</v>
      </c>
      <c r="G203" s="297">
        <f>$G$22</f>
        <v>0.8</v>
      </c>
      <c r="H203" s="297">
        <f>$H$22</f>
        <v>1.75</v>
      </c>
      <c r="I203" s="297">
        <f>$I$22</f>
        <v>0.26</v>
      </c>
      <c r="J203" s="297">
        <f>$J$22</f>
        <v>2.8099999999999996</v>
      </c>
      <c r="K203" s="297">
        <f>$K$22</f>
        <v>2.11</v>
      </c>
      <c r="L203" s="298">
        <f>$L$22</f>
        <v>5.2569000000000005E-2</v>
      </c>
      <c r="M203" s="298">
        <f>$M$22</f>
        <v>0.875</v>
      </c>
      <c r="N203" s="297">
        <f>$N$22</f>
        <v>7.25</v>
      </c>
    </row>
    <row r="204" spans="2:14" ht="12.95" customHeight="1" x14ac:dyDescent="0.2">
      <c r="B204" s="296" t="s">
        <v>89</v>
      </c>
      <c r="C204" s="297">
        <f>$C$7</f>
        <v>0.48</v>
      </c>
      <c r="D204" s="297">
        <f>$D$7</f>
        <v>0.3</v>
      </c>
      <c r="E204" s="297">
        <f>$E$7</f>
        <v>0.44</v>
      </c>
      <c r="F204" s="297">
        <f>$F$7</f>
        <v>1.22</v>
      </c>
      <c r="G204" s="297">
        <f>$G$7</f>
        <v>0.4</v>
      </c>
      <c r="H204" s="297">
        <f>$H$7</f>
        <v>0.28999999999999998</v>
      </c>
      <c r="I204" s="297">
        <f>$I$7</f>
        <v>0.04</v>
      </c>
      <c r="J204" s="297">
        <f>$J$7</f>
        <v>0.73</v>
      </c>
      <c r="K204" s="297">
        <f>$K$7</f>
        <v>0.6</v>
      </c>
      <c r="L204" s="298">
        <f>$L$7</f>
        <v>0.03</v>
      </c>
      <c r="M204" s="298">
        <f>$M$7</f>
        <v>0.14499999999999999</v>
      </c>
      <c r="N204" s="297">
        <f>$N$7</f>
        <v>2.5499999999999998</v>
      </c>
    </row>
    <row r="205" spans="2:14" x14ac:dyDescent="0.2">
      <c r="B205" s="296" t="s">
        <v>437</v>
      </c>
      <c r="C205" s="297">
        <f>$C$8</f>
        <v>0.79300000000000004</v>
      </c>
      <c r="D205" s="297">
        <f>$D$8</f>
        <v>0.623</v>
      </c>
      <c r="E205" s="297">
        <f>$E$8</f>
        <v>0.09</v>
      </c>
      <c r="F205" s="297">
        <f>$F$8</f>
        <v>1.506</v>
      </c>
      <c r="G205" s="297">
        <f>$G$8</f>
        <v>0.41799999999999998</v>
      </c>
      <c r="H205" s="297">
        <f>$H$8</f>
        <v>1.4</v>
      </c>
      <c r="I205" s="297">
        <f>$I$8</f>
        <v>0.21</v>
      </c>
      <c r="J205" s="297">
        <f>$J$8</f>
        <v>2.028</v>
      </c>
      <c r="K205" s="297">
        <f>$K$8</f>
        <v>0.88</v>
      </c>
      <c r="L205" s="298">
        <f>$L$8</f>
        <v>4.3999999999999997E-2</v>
      </c>
      <c r="M205" s="298">
        <f>$M$8</f>
        <v>0.7</v>
      </c>
      <c r="N205" s="297">
        <f>$N$8</f>
        <v>4.4139999999999997</v>
      </c>
    </row>
    <row r="206" spans="2:14" x14ac:dyDescent="0.2">
      <c r="B206" s="296" t="s">
        <v>90</v>
      </c>
      <c r="C206" s="297">
        <f>$C$9</f>
        <v>0.48</v>
      </c>
      <c r="D206" s="297">
        <f>$D$9</f>
        <v>0.24</v>
      </c>
      <c r="E206" s="297">
        <f>$E$9</f>
        <v>0.14000000000000001</v>
      </c>
      <c r="F206" s="297">
        <f>$F$9</f>
        <v>0.86</v>
      </c>
      <c r="G206" s="297">
        <f>$G$9</f>
        <v>0.16</v>
      </c>
      <c r="H206" s="297">
        <f>$H$9</f>
        <v>0.06</v>
      </c>
      <c r="I206" s="297">
        <f>$I$9</f>
        <v>0.01</v>
      </c>
      <c r="J206" s="297">
        <f>$J$9</f>
        <v>0.23</v>
      </c>
      <c r="K206" s="297">
        <f>$K$9</f>
        <v>0.16</v>
      </c>
      <c r="L206" s="298">
        <f>$L$9</f>
        <v>8.0000000000000002E-3</v>
      </c>
      <c r="M206" s="298">
        <f>$M$9</f>
        <v>1.6901408450704227E-2</v>
      </c>
      <c r="N206" s="297">
        <f>$N$9</f>
        <v>1.25</v>
      </c>
    </row>
    <row r="207" spans="2:14" ht="12.95" customHeight="1" x14ac:dyDescent="0.2">
      <c r="B207" s="296" t="s">
        <v>79</v>
      </c>
      <c r="C207" s="297">
        <f>$C$10</f>
        <v>0.2</v>
      </c>
      <c r="D207" s="297">
        <f>$D$10</f>
        <v>0.122</v>
      </c>
      <c r="E207" s="297">
        <f>$E$10</f>
        <v>2.1999999999999999E-2</v>
      </c>
      <c r="F207" s="297">
        <f>$F$10</f>
        <v>0.34400000000000003</v>
      </c>
      <c r="G207" s="297">
        <f>$G$10</f>
        <v>0.04</v>
      </c>
      <c r="H207" s="297">
        <f>$H$10</f>
        <v>0.25600000000000001</v>
      </c>
      <c r="I207" s="297">
        <f>$I$10</f>
        <v>3.7999999999999999E-2</v>
      </c>
      <c r="J207" s="297">
        <f>$J$10</f>
        <v>0.33399999999999996</v>
      </c>
      <c r="K207" s="297">
        <f>$K$10</f>
        <v>1.32</v>
      </c>
      <c r="L207" s="298">
        <f>$L$10</f>
        <v>6.6000000000000003E-2</v>
      </c>
      <c r="M207" s="298">
        <f>$M$10</f>
        <v>7.2112676056338032E-2</v>
      </c>
      <c r="N207" s="297">
        <f>$N$10</f>
        <v>1.998</v>
      </c>
    </row>
    <row r="208" spans="2:14" ht="12.95" customHeight="1" x14ac:dyDescent="0.2">
      <c r="B208" s="296" t="s">
        <v>107</v>
      </c>
      <c r="C208" s="297">
        <f>$C$11</f>
        <v>0.16700000000000001</v>
      </c>
      <c r="D208" s="297">
        <f>$D$11</f>
        <v>0.17599999999999999</v>
      </c>
      <c r="E208" s="297">
        <f>$E$11</f>
        <v>3.1E-2</v>
      </c>
      <c r="F208" s="297">
        <f>$F$11</f>
        <v>0.374</v>
      </c>
      <c r="G208" s="297">
        <f>$G$11</f>
        <v>0.08</v>
      </c>
      <c r="H208" s="297">
        <f>$H$11</f>
        <v>0.42</v>
      </c>
      <c r="I208" s="297">
        <f>$I$11</f>
        <v>6.3E-2</v>
      </c>
      <c r="J208" s="297">
        <f>$J$11</f>
        <v>0.56299999999999994</v>
      </c>
      <c r="K208" s="297">
        <f>$K$11</f>
        <v>0.88</v>
      </c>
      <c r="L208" s="298">
        <f>$L$11</f>
        <v>4.3999999999999997E-2</v>
      </c>
      <c r="M208" s="298">
        <f>$M$11</f>
        <v>0.21</v>
      </c>
      <c r="N208" s="297">
        <f>$N$11</f>
        <v>1.8170000000000002</v>
      </c>
    </row>
    <row r="209" spans="2:14" ht="12.95" customHeight="1" x14ac:dyDescent="0.2">
      <c r="B209" s="296" t="s">
        <v>28</v>
      </c>
      <c r="C209" s="297">
        <f>$C$13</f>
        <v>6.55</v>
      </c>
      <c r="D209" s="297">
        <f>$D$13</f>
        <v>4.42</v>
      </c>
      <c r="E209" s="297">
        <f>$E$13</f>
        <v>1.7</v>
      </c>
      <c r="F209" s="297">
        <f>$F$13</f>
        <v>12.669999999999998</v>
      </c>
      <c r="G209" s="297">
        <f>$G$13</f>
        <v>2.46</v>
      </c>
      <c r="H209" s="297">
        <f>$H$13</f>
        <v>2.86</v>
      </c>
      <c r="I209" s="297">
        <f>$I$13</f>
        <v>0.43</v>
      </c>
      <c r="J209" s="297">
        <f>$J$13</f>
        <v>5.75</v>
      </c>
      <c r="K209" s="297">
        <f>$K$13</f>
        <v>2.0499999999999998</v>
      </c>
      <c r="L209" s="298">
        <f>$L$13</f>
        <v>0.27625443037974684</v>
      </c>
      <c r="M209" s="298">
        <f>$M$13</f>
        <v>1.43</v>
      </c>
      <c r="N209" s="297">
        <f>$N$13</f>
        <v>20.47</v>
      </c>
    </row>
    <row r="210" spans="2:14" ht="12.95" customHeight="1" x14ac:dyDescent="0.2">
      <c r="B210" s="136" t="s">
        <v>300</v>
      </c>
      <c r="C210" s="307"/>
      <c r="D210" s="307"/>
      <c r="E210" s="307"/>
      <c r="F210" s="307"/>
      <c r="G210" s="307"/>
      <c r="H210" s="307"/>
      <c r="I210" s="307"/>
      <c r="J210" s="307"/>
      <c r="K210" s="307"/>
      <c r="L210" s="308"/>
      <c r="M210" s="308"/>
      <c r="N210" s="309"/>
    </row>
    <row r="211" spans="2:14" x14ac:dyDescent="0.2">
      <c r="B211" s="296" t="s">
        <v>108</v>
      </c>
      <c r="C211" s="297">
        <f>$C$12</f>
        <v>1.83</v>
      </c>
      <c r="D211" s="297">
        <f>$D$12</f>
        <v>1.21</v>
      </c>
      <c r="E211" s="297">
        <f>$E$12</f>
        <v>0.38</v>
      </c>
      <c r="F211" s="297">
        <f>$F$12</f>
        <v>3.42</v>
      </c>
      <c r="G211" s="297">
        <f>$G$12</f>
        <v>1.35</v>
      </c>
      <c r="H211" s="297">
        <f>$H$12</f>
        <v>3.45</v>
      </c>
      <c r="I211" s="297">
        <f>$I$12</f>
        <v>0.52</v>
      </c>
      <c r="J211" s="297">
        <f>$J$12</f>
        <v>5.32</v>
      </c>
      <c r="K211" s="297">
        <f>$K$12</f>
        <v>1.42</v>
      </c>
      <c r="L211" s="298">
        <f>$L$12</f>
        <v>9.6789873417721509E-2</v>
      </c>
      <c r="M211" s="298">
        <f>$M$12</f>
        <v>1.7250000000000001</v>
      </c>
      <c r="N211" s="297">
        <f>$N$12</f>
        <v>10.16</v>
      </c>
    </row>
    <row r="212" spans="2:14" x14ac:dyDescent="0.2">
      <c r="B212" s="296" t="s">
        <v>109</v>
      </c>
      <c r="C212" s="297">
        <f>$C$15</f>
        <v>0.89</v>
      </c>
      <c r="D212" s="297">
        <f>$D$15</f>
        <v>0.88</v>
      </c>
      <c r="E212" s="297">
        <f>$E$15</f>
        <v>0.13</v>
      </c>
      <c r="F212" s="297">
        <f>$F$15</f>
        <v>1.9</v>
      </c>
      <c r="G212" s="297">
        <f>$G$15</f>
        <v>0.63</v>
      </c>
      <c r="H212" s="297">
        <f>$H$15</f>
        <v>2.94</v>
      </c>
      <c r="I212" s="297">
        <f>$I$15</f>
        <v>0.44</v>
      </c>
      <c r="J212" s="297">
        <f>$J$15</f>
        <v>4.01</v>
      </c>
      <c r="K212" s="297">
        <f>$K$15</f>
        <v>1.32</v>
      </c>
      <c r="L212" s="298">
        <f>$L$15</f>
        <v>6.6543037974683555E-2</v>
      </c>
      <c r="M212" s="298">
        <f>$M$15</f>
        <v>1.47</v>
      </c>
      <c r="N212" s="297">
        <f>$N$15</f>
        <v>7.23</v>
      </c>
    </row>
    <row r="213" spans="2:14" x14ac:dyDescent="0.2">
      <c r="B213" s="296" t="s">
        <v>109</v>
      </c>
      <c r="C213" s="297">
        <f>$C$15</f>
        <v>0.89</v>
      </c>
      <c r="D213" s="297">
        <f>$D$15</f>
        <v>0.88</v>
      </c>
      <c r="E213" s="297">
        <f>$E$15</f>
        <v>0.13</v>
      </c>
      <c r="F213" s="297">
        <f>$F$15</f>
        <v>1.9</v>
      </c>
      <c r="G213" s="297">
        <f>$G$15</f>
        <v>0.63</v>
      </c>
      <c r="H213" s="297">
        <f>$H$15</f>
        <v>2.94</v>
      </c>
      <c r="I213" s="297">
        <f>$I$15</f>
        <v>0.44</v>
      </c>
      <c r="J213" s="297">
        <f>$J$15</f>
        <v>4.01</v>
      </c>
      <c r="K213" s="297">
        <f>$K$15</f>
        <v>1.32</v>
      </c>
      <c r="L213" s="298">
        <f>$L$15</f>
        <v>6.6543037974683555E-2</v>
      </c>
      <c r="M213" s="298">
        <f>$M$15</f>
        <v>1.47</v>
      </c>
      <c r="N213" s="297">
        <f>$N$15</f>
        <v>7.23</v>
      </c>
    </row>
    <row r="214" spans="2:14" x14ac:dyDescent="0.2">
      <c r="B214" s="296" t="s">
        <v>83</v>
      </c>
      <c r="C214" s="297">
        <f>$C$19</f>
        <v>1.91</v>
      </c>
      <c r="D214" s="297">
        <f>$D$19</f>
        <v>1.26</v>
      </c>
      <c r="E214" s="297">
        <f>$E$19</f>
        <v>0.15</v>
      </c>
      <c r="F214" s="297">
        <f>$F$19</f>
        <v>3.32</v>
      </c>
      <c r="G214" s="297">
        <f>$G$19</f>
        <v>1.04</v>
      </c>
      <c r="H214" s="297">
        <f>$H$19</f>
        <v>2.31</v>
      </c>
      <c r="I214" s="297">
        <f>$I$19</f>
        <v>0.35</v>
      </c>
      <c r="J214" s="297">
        <f>$J$19</f>
        <v>3.7</v>
      </c>
      <c r="K214" s="297">
        <f>$K$19</f>
        <v>0.95</v>
      </c>
      <c r="L214" s="298">
        <f>$L$19</f>
        <v>6.3854430379746835E-2</v>
      </c>
      <c r="M214" s="298">
        <f>$M$19</f>
        <v>1.155</v>
      </c>
      <c r="N214" s="297">
        <f>$N$19</f>
        <v>7.9700000000000006</v>
      </c>
    </row>
    <row r="215" spans="2:14" x14ac:dyDescent="0.2">
      <c r="B215" s="136" t="s">
        <v>430</v>
      </c>
      <c r="C215" s="297"/>
      <c r="D215" s="297"/>
      <c r="E215" s="297"/>
      <c r="F215" s="297"/>
      <c r="G215" s="297"/>
      <c r="H215" s="297"/>
      <c r="I215" s="297"/>
      <c r="J215" s="297"/>
      <c r="K215" s="297"/>
      <c r="L215" s="298"/>
      <c r="M215" s="298"/>
      <c r="N215" s="297"/>
    </row>
    <row r="216" spans="2:14" x14ac:dyDescent="0.2">
      <c r="B216" s="296" t="s">
        <v>84</v>
      </c>
      <c r="C216" s="297">
        <f>$C$14</f>
        <v>0.96</v>
      </c>
      <c r="D216" s="297">
        <f>$D$14</f>
        <v>0.81</v>
      </c>
      <c r="E216" s="297">
        <f>$E$14</f>
        <v>0.11</v>
      </c>
      <c r="F216" s="297">
        <f>$F$14</f>
        <v>1.8800000000000001</v>
      </c>
      <c r="G216" s="297">
        <f>$G$14</f>
        <v>0.86</v>
      </c>
      <c r="H216" s="297">
        <f>$H$14</f>
        <v>0.85</v>
      </c>
      <c r="I216" s="297">
        <f>$I$14</f>
        <v>0.13</v>
      </c>
      <c r="J216" s="297">
        <f>$J$14</f>
        <v>1.8399999999999999</v>
      </c>
      <c r="K216" s="297">
        <f>$K$14</f>
        <v>0.59</v>
      </c>
      <c r="L216" s="298">
        <f>$L$14</f>
        <v>3.4279746835443041E-2</v>
      </c>
      <c r="M216" s="298">
        <f>$M$14</f>
        <v>0.42499999999999999</v>
      </c>
      <c r="N216" s="297">
        <f>$N$14</f>
        <v>4.3099999999999996</v>
      </c>
    </row>
    <row r="217" spans="2:14" x14ac:dyDescent="0.2">
      <c r="B217" s="296" t="s">
        <v>447</v>
      </c>
      <c r="C217" s="297">
        <f>$C$21</f>
        <v>0.44</v>
      </c>
      <c r="D217" s="297">
        <f>$D$21</f>
        <v>0.4</v>
      </c>
      <c r="E217" s="297">
        <f>$E$21</f>
        <v>0.06</v>
      </c>
      <c r="F217" s="297">
        <f>$F$21</f>
        <v>0.90000000000000013</v>
      </c>
      <c r="G217" s="297">
        <f>$G$21</f>
        <v>0.24</v>
      </c>
      <c r="H217" s="297">
        <f>$H$21</f>
        <v>0.55000000000000004</v>
      </c>
      <c r="I217" s="297">
        <f>$I$21</f>
        <v>0.08</v>
      </c>
      <c r="J217" s="297">
        <f>$J$21</f>
        <v>0.87</v>
      </c>
      <c r="K217" s="297">
        <f>$K$21</f>
        <v>0.43</v>
      </c>
      <c r="L217" s="298">
        <f>$L$21</f>
        <v>2.4869620253164557E-2</v>
      </c>
      <c r="M217" s="298">
        <f>$M$21</f>
        <v>0.27500000000000002</v>
      </c>
      <c r="N217" s="297">
        <f>$N$21</f>
        <v>2.2000000000000002</v>
      </c>
    </row>
    <row r="218" spans="2:14" x14ac:dyDescent="0.2">
      <c r="B218" s="301" t="s">
        <v>11</v>
      </c>
      <c r="C218" s="302">
        <f t="shared" ref="C218:M218" si="16">SUM(C202:C217)</f>
        <v>17.040000000000003</v>
      </c>
      <c r="D218" s="302">
        <f t="shared" si="16"/>
        <v>12.641000000000002</v>
      </c>
      <c r="E218" s="302">
        <f t="shared" si="16"/>
        <v>5.0629999999999997</v>
      </c>
      <c r="F218" s="302">
        <f t="shared" si="16"/>
        <v>34.744</v>
      </c>
      <c r="G218" s="302">
        <f t="shared" si="16"/>
        <v>9.3480000000000008</v>
      </c>
      <c r="H218" s="302">
        <f t="shared" si="16"/>
        <v>21.556000000000001</v>
      </c>
      <c r="I218" s="302">
        <f t="shared" si="16"/>
        <v>3.2309999999999999</v>
      </c>
      <c r="J218" s="302">
        <f t="shared" si="16"/>
        <v>34.134999999999998</v>
      </c>
      <c r="K218" s="302">
        <f t="shared" si="16"/>
        <v>16.43</v>
      </c>
      <c r="L218" s="303">
        <f t="shared" si="16"/>
        <v>0.99370317721518975</v>
      </c>
      <c r="M218" s="303">
        <f t="shared" si="16"/>
        <v>10.385915492957746</v>
      </c>
      <c r="N218" s="302">
        <f>SUM(N202:N217)</f>
        <v>85.309000000000012</v>
      </c>
    </row>
    <row r="221" spans="2:14" ht="15" x14ac:dyDescent="0.25">
      <c r="B221" s="592" t="s">
        <v>560</v>
      </c>
      <c r="C221" s="592"/>
      <c r="D221" s="592"/>
      <c r="E221" s="592"/>
      <c r="F221" s="592"/>
      <c r="G221" s="592"/>
      <c r="H221" s="592"/>
      <c r="I221" s="592"/>
      <c r="J221" s="592"/>
      <c r="K221" s="592"/>
      <c r="L221" s="592"/>
      <c r="M221" s="592"/>
      <c r="N221" s="592"/>
    </row>
    <row r="222" spans="2:14" ht="12.75" customHeight="1" x14ac:dyDescent="0.2">
      <c r="B222" s="283"/>
      <c r="C222" s="597" t="s">
        <v>48</v>
      </c>
      <c r="D222" s="598"/>
      <c r="E222" s="598"/>
      <c r="F222" s="599"/>
      <c r="G222" s="600" t="s">
        <v>110</v>
      </c>
      <c r="H222" s="601"/>
      <c r="I222" s="601"/>
      <c r="J222" s="602"/>
      <c r="K222" s="593" t="s">
        <v>45</v>
      </c>
      <c r="L222" s="594"/>
      <c r="M222" s="284" t="s">
        <v>2</v>
      </c>
      <c r="N222" s="595" t="s">
        <v>111</v>
      </c>
    </row>
    <row r="223" spans="2:14" ht="36" x14ac:dyDescent="0.2">
      <c r="B223" s="285"/>
      <c r="C223" s="286" t="s">
        <v>317</v>
      </c>
      <c r="D223" s="306" t="s">
        <v>112</v>
      </c>
      <c r="E223" s="616" t="s">
        <v>351</v>
      </c>
      <c r="F223" s="286" t="s">
        <v>114</v>
      </c>
      <c r="G223" s="287" t="s">
        <v>104</v>
      </c>
      <c r="H223" s="287" t="s">
        <v>105</v>
      </c>
      <c r="I223" s="310" t="s">
        <v>336</v>
      </c>
      <c r="J223" s="287" t="s">
        <v>215</v>
      </c>
      <c r="K223" s="322"/>
      <c r="L223" s="322"/>
      <c r="M223" s="286"/>
      <c r="N223" s="596"/>
    </row>
    <row r="224" spans="2:14" x14ac:dyDescent="0.2">
      <c r="B224" s="289"/>
      <c r="C224" s="289"/>
      <c r="D224" s="289"/>
      <c r="E224" s="617"/>
      <c r="F224" s="291"/>
      <c r="G224" s="292"/>
      <c r="H224" s="292"/>
      <c r="I224" s="292"/>
      <c r="J224" s="292"/>
      <c r="K224" s="323" t="s">
        <v>227</v>
      </c>
      <c r="L224" s="323" t="s">
        <v>3</v>
      </c>
      <c r="M224" s="294" t="s">
        <v>4</v>
      </c>
      <c r="N224" s="295" t="s">
        <v>227</v>
      </c>
    </row>
    <row r="225" spans="2:14" x14ac:dyDescent="0.2">
      <c r="B225" s="296" t="s">
        <v>106</v>
      </c>
      <c r="C225" s="297">
        <f>$C$6</f>
        <v>0.85</v>
      </c>
      <c r="D225" s="297">
        <f>$D$6</f>
        <v>0.63</v>
      </c>
      <c r="E225" s="297">
        <f>$E$6</f>
        <v>0.64</v>
      </c>
      <c r="F225" s="297">
        <f>$F$6</f>
        <v>2.12</v>
      </c>
      <c r="G225" s="297">
        <f>$G$6</f>
        <v>0.24</v>
      </c>
      <c r="H225" s="297">
        <f>$H$6</f>
        <v>1.48</v>
      </c>
      <c r="I225" s="297">
        <f>$I$6</f>
        <v>0.22</v>
      </c>
      <c r="J225" s="297">
        <f>$J$6</f>
        <v>1.94</v>
      </c>
      <c r="K225" s="297">
        <f>$K$6</f>
        <v>2.4</v>
      </c>
      <c r="L225" s="298">
        <f>$L$6</f>
        <v>0.12</v>
      </c>
      <c r="M225" s="298">
        <f>$M$6</f>
        <v>0.41690140845070423</v>
      </c>
      <c r="N225" s="297">
        <f>$N$6</f>
        <v>6.46</v>
      </c>
    </row>
    <row r="226" spans="2:14" x14ac:dyDescent="0.2">
      <c r="B226" s="296" t="s">
        <v>423</v>
      </c>
      <c r="C226" s="297">
        <f>$C$22</f>
        <v>0.6</v>
      </c>
      <c r="D226" s="297">
        <f>$D$22</f>
        <v>0.69</v>
      </c>
      <c r="E226" s="297">
        <f>$E$22</f>
        <v>1.04</v>
      </c>
      <c r="F226" s="297">
        <f>$F$22</f>
        <v>2.33</v>
      </c>
      <c r="G226" s="297">
        <f>$G$22</f>
        <v>0.8</v>
      </c>
      <c r="H226" s="297">
        <f>$H$22</f>
        <v>1.75</v>
      </c>
      <c r="I226" s="297">
        <f>$I$22</f>
        <v>0.26</v>
      </c>
      <c r="J226" s="297">
        <f>$J$22</f>
        <v>2.8099999999999996</v>
      </c>
      <c r="K226" s="297">
        <f>$K$22</f>
        <v>2.11</v>
      </c>
      <c r="L226" s="298">
        <f>$L$22</f>
        <v>5.2569000000000005E-2</v>
      </c>
      <c r="M226" s="298">
        <f>$M$22</f>
        <v>0.875</v>
      </c>
      <c r="N226" s="297">
        <f>$N$22</f>
        <v>7.25</v>
      </c>
    </row>
    <row r="227" spans="2:14" ht="12.95" customHeight="1" x14ac:dyDescent="0.2">
      <c r="B227" s="296" t="s">
        <v>89</v>
      </c>
      <c r="C227" s="297">
        <f>$C$7</f>
        <v>0.48</v>
      </c>
      <c r="D227" s="297">
        <f>$D$7</f>
        <v>0.3</v>
      </c>
      <c r="E227" s="297">
        <f>$E$7</f>
        <v>0.44</v>
      </c>
      <c r="F227" s="297">
        <f>$F$7</f>
        <v>1.22</v>
      </c>
      <c r="G227" s="297">
        <f>$G$7</f>
        <v>0.4</v>
      </c>
      <c r="H227" s="297">
        <f>$H$7</f>
        <v>0.28999999999999998</v>
      </c>
      <c r="I227" s="297">
        <f>$I$7</f>
        <v>0.04</v>
      </c>
      <c r="J227" s="297">
        <f>$J$7</f>
        <v>0.73</v>
      </c>
      <c r="K227" s="297">
        <f>$K$7</f>
        <v>0.6</v>
      </c>
      <c r="L227" s="298">
        <f>$L$7</f>
        <v>0.03</v>
      </c>
      <c r="M227" s="298">
        <f>$M$7</f>
        <v>0.14499999999999999</v>
      </c>
      <c r="N227" s="297">
        <f>$N$7</f>
        <v>2.5499999999999998</v>
      </c>
    </row>
    <row r="228" spans="2:14" ht="12.95" customHeight="1" x14ac:dyDescent="0.2">
      <c r="B228" s="296" t="s">
        <v>90</v>
      </c>
      <c r="C228" s="297">
        <f>$C$9</f>
        <v>0.48</v>
      </c>
      <c r="D228" s="297">
        <f>$D$9</f>
        <v>0.24</v>
      </c>
      <c r="E228" s="297">
        <f>$E$9</f>
        <v>0.14000000000000001</v>
      </c>
      <c r="F228" s="297">
        <f>$F$9</f>
        <v>0.86</v>
      </c>
      <c r="G228" s="297">
        <f>$G$9</f>
        <v>0.16</v>
      </c>
      <c r="H228" s="297">
        <f>$H$9</f>
        <v>0.06</v>
      </c>
      <c r="I228" s="297">
        <f>$I$9</f>
        <v>0.01</v>
      </c>
      <c r="J228" s="297">
        <f>$J$9</f>
        <v>0.23</v>
      </c>
      <c r="K228" s="297">
        <f>$K$9</f>
        <v>0.16</v>
      </c>
      <c r="L228" s="298">
        <f>$L$9</f>
        <v>8.0000000000000002E-3</v>
      </c>
      <c r="M228" s="298">
        <f>$M$9</f>
        <v>1.6901408450704227E-2</v>
      </c>
      <c r="N228" s="297">
        <f>$N$9</f>
        <v>1.25</v>
      </c>
    </row>
    <row r="229" spans="2:14" x14ac:dyDescent="0.2">
      <c r="B229" s="296" t="s">
        <v>79</v>
      </c>
      <c r="C229" s="297">
        <f>$C$10</f>
        <v>0.2</v>
      </c>
      <c r="D229" s="297">
        <f>$D$10</f>
        <v>0.122</v>
      </c>
      <c r="E229" s="297">
        <f>$E$10</f>
        <v>2.1999999999999999E-2</v>
      </c>
      <c r="F229" s="297">
        <f>$F$10</f>
        <v>0.34400000000000003</v>
      </c>
      <c r="G229" s="297">
        <f>$G$10</f>
        <v>0.04</v>
      </c>
      <c r="H229" s="297">
        <f>$H$10</f>
        <v>0.25600000000000001</v>
      </c>
      <c r="I229" s="297">
        <f>$I$10</f>
        <v>3.7999999999999999E-2</v>
      </c>
      <c r="J229" s="297">
        <f>$J$10</f>
        <v>0.33399999999999996</v>
      </c>
      <c r="K229" s="297">
        <f>$K$10</f>
        <v>1.32</v>
      </c>
      <c r="L229" s="298">
        <f>$L$10</f>
        <v>6.6000000000000003E-2</v>
      </c>
      <c r="M229" s="298">
        <f>$M$10</f>
        <v>7.2112676056338032E-2</v>
      </c>
      <c r="N229" s="297">
        <f>$N$10</f>
        <v>1.998</v>
      </c>
    </row>
    <row r="230" spans="2:14" ht="12.95" customHeight="1" x14ac:dyDescent="0.2">
      <c r="B230" s="296" t="s">
        <v>107</v>
      </c>
      <c r="C230" s="297">
        <f>$C$11</f>
        <v>0.16700000000000001</v>
      </c>
      <c r="D230" s="297">
        <f>$D$11</f>
        <v>0.17599999999999999</v>
      </c>
      <c r="E230" s="297">
        <f>$E$11</f>
        <v>3.1E-2</v>
      </c>
      <c r="F230" s="297">
        <f>$F$11</f>
        <v>0.374</v>
      </c>
      <c r="G230" s="297">
        <f>$G$11</f>
        <v>0.08</v>
      </c>
      <c r="H230" s="297">
        <f>$H$11</f>
        <v>0.42</v>
      </c>
      <c r="I230" s="297">
        <f>$I$11</f>
        <v>6.3E-2</v>
      </c>
      <c r="J230" s="297">
        <f>$J$11</f>
        <v>0.56299999999999994</v>
      </c>
      <c r="K230" s="297">
        <f>$K$11</f>
        <v>0.88</v>
      </c>
      <c r="L230" s="298">
        <f>$L$11</f>
        <v>4.3999999999999997E-2</v>
      </c>
      <c r="M230" s="298">
        <f>$M$11</f>
        <v>0.21</v>
      </c>
      <c r="N230" s="297">
        <f>$N$11</f>
        <v>1.8170000000000002</v>
      </c>
    </row>
    <row r="231" spans="2:14" ht="12.95" customHeight="1" x14ac:dyDescent="0.2">
      <c r="B231" s="296" t="s">
        <v>28</v>
      </c>
      <c r="C231" s="297">
        <f>$C$13</f>
        <v>6.55</v>
      </c>
      <c r="D231" s="297">
        <f>$D$13</f>
        <v>4.42</v>
      </c>
      <c r="E231" s="297">
        <f>$E$13</f>
        <v>1.7</v>
      </c>
      <c r="F231" s="297">
        <f>$F$13</f>
        <v>12.669999999999998</v>
      </c>
      <c r="G231" s="297">
        <f>$G$13</f>
        <v>2.46</v>
      </c>
      <c r="H231" s="297">
        <f>$H$13</f>
        <v>2.86</v>
      </c>
      <c r="I231" s="297">
        <f>$I$13</f>
        <v>0.43</v>
      </c>
      <c r="J231" s="297">
        <f>$J$13</f>
        <v>5.75</v>
      </c>
      <c r="K231" s="297">
        <f>$K$13</f>
        <v>2.0499999999999998</v>
      </c>
      <c r="L231" s="298">
        <f>$L$13</f>
        <v>0.27625443037974684</v>
      </c>
      <c r="M231" s="298">
        <f>$M$13</f>
        <v>1.43</v>
      </c>
      <c r="N231" s="297">
        <f>$N$13</f>
        <v>20.47</v>
      </c>
    </row>
    <row r="232" spans="2:14" ht="12.95" customHeight="1" x14ac:dyDescent="0.2">
      <c r="B232" s="136" t="s">
        <v>300</v>
      </c>
      <c r="C232" s="307"/>
      <c r="D232" s="307"/>
      <c r="E232" s="307"/>
      <c r="F232" s="307"/>
      <c r="G232" s="307"/>
      <c r="H232" s="307"/>
      <c r="I232" s="307"/>
      <c r="J232" s="307"/>
      <c r="K232" s="307"/>
      <c r="L232" s="308"/>
      <c r="M232" s="308"/>
      <c r="N232" s="309"/>
    </row>
    <row r="233" spans="2:14" x14ac:dyDescent="0.2">
      <c r="B233" s="296" t="s">
        <v>108</v>
      </c>
      <c r="C233" s="297">
        <f>$C$12</f>
        <v>1.83</v>
      </c>
      <c r="D233" s="297">
        <f>$D$12</f>
        <v>1.21</v>
      </c>
      <c r="E233" s="297">
        <f>$E$12</f>
        <v>0.38</v>
      </c>
      <c r="F233" s="297">
        <f>$F$12</f>
        <v>3.42</v>
      </c>
      <c r="G233" s="297">
        <f>$G$12</f>
        <v>1.35</v>
      </c>
      <c r="H233" s="297">
        <f>$H$12</f>
        <v>3.45</v>
      </c>
      <c r="I233" s="297">
        <f>$I$12</f>
        <v>0.52</v>
      </c>
      <c r="J233" s="297">
        <f>$J$12</f>
        <v>5.32</v>
      </c>
      <c r="K233" s="297">
        <f>$K$12</f>
        <v>1.42</v>
      </c>
      <c r="L233" s="298">
        <f>$L$12</f>
        <v>9.6789873417721509E-2</v>
      </c>
      <c r="M233" s="298">
        <f>$M$12</f>
        <v>1.7250000000000001</v>
      </c>
      <c r="N233" s="297">
        <f>$N$12</f>
        <v>10.16</v>
      </c>
    </row>
    <row r="234" spans="2:14" x14ac:dyDescent="0.2">
      <c r="B234" s="296" t="s">
        <v>109</v>
      </c>
      <c r="C234" s="297">
        <f>$C$15</f>
        <v>0.89</v>
      </c>
      <c r="D234" s="297">
        <f>$D$15</f>
        <v>0.88</v>
      </c>
      <c r="E234" s="297">
        <f>$E$15</f>
        <v>0.13</v>
      </c>
      <c r="F234" s="297">
        <f>$F$15</f>
        <v>1.9</v>
      </c>
      <c r="G234" s="297">
        <f>$G$15</f>
        <v>0.63</v>
      </c>
      <c r="H234" s="297">
        <f>$H$15</f>
        <v>2.94</v>
      </c>
      <c r="I234" s="297">
        <f>$I$15</f>
        <v>0.44</v>
      </c>
      <c r="J234" s="297">
        <f>$J$15</f>
        <v>4.01</v>
      </c>
      <c r="K234" s="297">
        <f>$K$15</f>
        <v>1.32</v>
      </c>
      <c r="L234" s="298">
        <f>$L$15</f>
        <v>6.6543037974683555E-2</v>
      </c>
      <c r="M234" s="298">
        <f>$M$15</f>
        <v>1.47</v>
      </c>
      <c r="N234" s="297">
        <f>$N$15</f>
        <v>7.23</v>
      </c>
    </row>
    <row r="235" spans="2:14" x14ac:dyDescent="0.2">
      <c r="B235" s="296" t="s">
        <v>109</v>
      </c>
      <c r="C235" s="297">
        <f>$C$15</f>
        <v>0.89</v>
      </c>
      <c r="D235" s="297">
        <f>$D$15</f>
        <v>0.88</v>
      </c>
      <c r="E235" s="297">
        <f>$E$15</f>
        <v>0.13</v>
      </c>
      <c r="F235" s="297">
        <f>$F$15</f>
        <v>1.9</v>
      </c>
      <c r="G235" s="297">
        <f>$G$15</f>
        <v>0.63</v>
      </c>
      <c r="H235" s="297">
        <f>$H$15</f>
        <v>2.94</v>
      </c>
      <c r="I235" s="297">
        <f>$I$15</f>
        <v>0.44</v>
      </c>
      <c r="J235" s="297">
        <f>$J$15</f>
        <v>4.01</v>
      </c>
      <c r="K235" s="297">
        <f>$K$15</f>
        <v>1.32</v>
      </c>
      <c r="L235" s="298">
        <f>$L$15</f>
        <v>6.6543037974683555E-2</v>
      </c>
      <c r="M235" s="298">
        <f>$M$15</f>
        <v>1.47</v>
      </c>
      <c r="N235" s="297">
        <f>$N$15</f>
        <v>7.23</v>
      </c>
    </row>
    <row r="236" spans="2:14" x14ac:dyDescent="0.2">
      <c r="B236" s="296" t="s">
        <v>83</v>
      </c>
      <c r="C236" s="297">
        <f>$C$19</f>
        <v>1.91</v>
      </c>
      <c r="D236" s="297">
        <f>$D$19</f>
        <v>1.26</v>
      </c>
      <c r="E236" s="297">
        <f>$E$19</f>
        <v>0.15</v>
      </c>
      <c r="F236" s="297">
        <f>$F$19</f>
        <v>3.32</v>
      </c>
      <c r="G236" s="297">
        <f>$G$19</f>
        <v>1.04</v>
      </c>
      <c r="H236" s="297">
        <f>$H$19</f>
        <v>2.31</v>
      </c>
      <c r="I236" s="297">
        <f>$I$19</f>
        <v>0.35</v>
      </c>
      <c r="J236" s="297">
        <f>$J$19</f>
        <v>3.7</v>
      </c>
      <c r="K236" s="297">
        <f>$K$19</f>
        <v>0.95</v>
      </c>
      <c r="L236" s="298">
        <f>$L$19</f>
        <v>6.3854430379746835E-2</v>
      </c>
      <c r="M236" s="298">
        <f>$M$19</f>
        <v>1.155</v>
      </c>
      <c r="N236" s="297">
        <f>$N$19</f>
        <v>7.9700000000000006</v>
      </c>
    </row>
    <row r="237" spans="2:14" x14ac:dyDescent="0.2">
      <c r="B237" s="296" t="s">
        <v>432</v>
      </c>
      <c r="C237" s="297">
        <f>$C$8</f>
        <v>0.79300000000000004</v>
      </c>
      <c r="D237" s="297">
        <f>$D$8</f>
        <v>0.623</v>
      </c>
      <c r="E237" s="297">
        <f>$E$8</f>
        <v>0.09</v>
      </c>
      <c r="F237" s="297">
        <f>$F$8</f>
        <v>1.506</v>
      </c>
      <c r="G237" s="297">
        <f>$G$8</f>
        <v>0.41799999999999998</v>
      </c>
      <c r="H237" s="297">
        <f>$H$8</f>
        <v>1.4</v>
      </c>
      <c r="I237" s="297">
        <f>$I$8</f>
        <v>0.21</v>
      </c>
      <c r="J237" s="297">
        <f>$J$8</f>
        <v>2.028</v>
      </c>
      <c r="K237" s="297">
        <f>$K$8</f>
        <v>0.88</v>
      </c>
      <c r="L237" s="298">
        <f>$L$8</f>
        <v>4.3999999999999997E-2</v>
      </c>
      <c r="M237" s="298">
        <f>$M$8</f>
        <v>0.7</v>
      </c>
      <c r="N237" s="297">
        <f>$N$8</f>
        <v>4.4139999999999997</v>
      </c>
    </row>
    <row r="238" spans="2:14" x14ac:dyDescent="0.2">
      <c r="B238" s="136" t="s">
        <v>430</v>
      </c>
      <c r="C238" s="297"/>
      <c r="D238" s="297"/>
      <c r="E238" s="297"/>
      <c r="F238" s="297"/>
      <c r="G238" s="297"/>
      <c r="H238" s="297"/>
      <c r="I238" s="297"/>
      <c r="J238" s="297"/>
      <c r="K238" s="297"/>
      <c r="L238" s="298"/>
      <c r="M238" s="298"/>
      <c r="N238" s="297"/>
    </row>
    <row r="239" spans="2:14" x14ac:dyDescent="0.2">
      <c r="B239" s="296" t="s">
        <v>84</v>
      </c>
      <c r="C239" s="297">
        <f>$C$14</f>
        <v>0.96</v>
      </c>
      <c r="D239" s="297">
        <f>$D$14</f>
        <v>0.81</v>
      </c>
      <c r="E239" s="297">
        <f>$E$14</f>
        <v>0.11</v>
      </c>
      <c r="F239" s="297">
        <f>$F$14</f>
        <v>1.8800000000000001</v>
      </c>
      <c r="G239" s="297">
        <f>$G$14</f>
        <v>0.86</v>
      </c>
      <c r="H239" s="297">
        <f>$H$14</f>
        <v>0.85</v>
      </c>
      <c r="I239" s="297">
        <f>$I$14</f>
        <v>0.13</v>
      </c>
      <c r="J239" s="297">
        <f>$J$14</f>
        <v>1.8399999999999999</v>
      </c>
      <c r="K239" s="297">
        <f>$K$14</f>
        <v>0.59</v>
      </c>
      <c r="L239" s="298">
        <f>$L$14</f>
        <v>3.4279746835443041E-2</v>
      </c>
      <c r="M239" s="298">
        <f>$M$14</f>
        <v>0.42499999999999999</v>
      </c>
      <c r="N239" s="297">
        <f>$N$14</f>
        <v>4.3099999999999996</v>
      </c>
    </row>
    <row r="240" spans="2:14" x14ac:dyDescent="0.2">
      <c r="B240" s="296" t="s">
        <v>447</v>
      </c>
      <c r="C240" s="297">
        <f>$C$21</f>
        <v>0.44</v>
      </c>
      <c r="D240" s="297">
        <f>$D$21</f>
        <v>0.4</v>
      </c>
      <c r="E240" s="297">
        <f>$E$21</f>
        <v>0.06</v>
      </c>
      <c r="F240" s="297">
        <f>$F$21</f>
        <v>0.90000000000000013</v>
      </c>
      <c r="G240" s="297">
        <f>$G$21</f>
        <v>0.24</v>
      </c>
      <c r="H240" s="297">
        <f>$H$21</f>
        <v>0.55000000000000004</v>
      </c>
      <c r="I240" s="297">
        <f>$I$21</f>
        <v>0.08</v>
      </c>
      <c r="J240" s="297">
        <f>$J$21</f>
        <v>0.87</v>
      </c>
      <c r="K240" s="297">
        <f>$K$21</f>
        <v>0.43</v>
      </c>
      <c r="L240" s="298">
        <f>$L$21</f>
        <v>2.4869620253164557E-2</v>
      </c>
      <c r="M240" s="298">
        <f>$M$21</f>
        <v>0.27500000000000002</v>
      </c>
      <c r="N240" s="297">
        <f>$N$21</f>
        <v>2.2000000000000002</v>
      </c>
    </row>
    <row r="241" spans="2:14" x14ac:dyDescent="0.2">
      <c r="B241" s="301" t="s">
        <v>11</v>
      </c>
      <c r="C241" s="302">
        <f t="shared" ref="C241:N241" si="17">SUM(C225:C240)</f>
        <v>17.040000000000003</v>
      </c>
      <c r="D241" s="302">
        <f t="shared" si="17"/>
        <v>12.641</v>
      </c>
      <c r="E241" s="302">
        <f t="shared" si="17"/>
        <v>5.0629999999999997</v>
      </c>
      <c r="F241" s="302">
        <f t="shared" si="17"/>
        <v>34.744</v>
      </c>
      <c r="G241" s="302">
        <f t="shared" si="17"/>
        <v>9.347999999999999</v>
      </c>
      <c r="H241" s="302">
        <f t="shared" si="17"/>
        <v>21.555999999999997</v>
      </c>
      <c r="I241" s="302">
        <f t="shared" si="17"/>
        <v>3.2309999999999999</v>
      </c>
      <c r="J241" s="302">
        <f t="shared" si="17"/>
        <v>34.134999999999991</v>
      </c>
      <c r="K241" s="302">
        <f t="shared" si="17"/>
        <v>16.43</v>
      </c>
      <c r="L241" s="303">
        <f t="shared" si="17"/>
        <v>0.99370317721518975</v>
      </c>
      <c r="M241" s="303">
        <f>SUM(M225:M240)</f>
        <v>10.385915492957746</v>
      </c>
      <c r="N241" s="302">
        <f t="shared" si="17"/>
        <v>85.309000000000012</v>
      </c>
    </row>
    <row r="244" spans="2:14" ht="15" x14ac:dyDescent="0.25">
      <c r="B244" s="592" t="s">
        <v>561</v>
      </c>
      <c r="C244" s="592"/>
      <c r="D244" s="592"/>
      <c r="E244" s="592"/>
      <c r="F244" s="592"/>
      <c r="G244" s="592"/>
      <c r="H244" s="592"/>
      <c r="I244" s="592"/>
      <c r="J244" s="592"/>
      <c r="K244" s="592"/>
      <c r="L244" s="592"/>
      <c r="M244" s="592"/>
      <c r="N244" s="592"/>
    </row>
    <row r="245" spans="2:14" ht="12.75" customHeight="1" x14ac:dyDescent="0.2">
      <c r="B245" s="283"/>
      <c r="C245" s="597" t="s">
        <v>48</v>
      </c>
      <c r="D245" s="598"/>
      <c r="E245" s="598"/>
      <c r="F245" s="599"/>
      <c r="G245" s="600" t="s">
        <v>110</v>
      </c>
      <c r="H245" s="601"/>
      <c r="I245" s="601"/>
      <c r="J245" s="602"/>
      <c r="K245" s="593" t="s">
        <v>45</v>
      </c>
      <c r="L245" s="594"/>
      <c r="M245" s="284" t="s">
        <v>2</v>
      </c>
      <c r="N245" s="595" t="s">
        <v>111</v>
      </c>
    </row>
    <row r="246" spans="2:14" ht="36" x14ac:dyDescent="0.2">
      <c r="B246" s="285"/>
      <c r="C246" s="286" t="s">
        <v>317</v>
      </c>
      <c r="D246" s="306" t="s">
        <v>112</v>
      </c>
      <c r="E246" s="616" t="s">
        <v>351</v>
      </c>
      <c r="F246" s="286" t="s">
        <v>114</v>
      </c>
      <c r="G246" s="287" t="s">
        <v>104</v>
      </c>
      <c r="H246" s="287" t="s">
        <v>105</v>
      </c>
      <c r="I246" s="310" t="s">
        <v>336</v>
      </c>
      <c r="J246" s="287" t="s">
        <v>215</v>
      </c>
      <c r="K246" s="322"/>
      <c r="L246" s="322"/>
      <c r="M246" s="286"/>
      <c r="N246" s="596"/>
    </row>
    <row r="247" spans="2:14" x14ac:dyDescent="0.2">
      <c r="B247" s="289"/>
      <c r="C247" s="289"/>
      <c r="D247" s="289"/>
      <c r="E247" s="617"/>
      <c r="F247" s="291"/>
      <c r="G247" s="292"/>
      <c r="H247" s="292"/>
      <c r="I247" s="292"/>
      <c r="J247" s="292"/>
      <c r="K247" s="323" t="s">
        <v>227</v>
      </c>
      <c r="L247" s="323" t="s">
        <v>3</v>
      </c>
      <c r="M247" s="294" t="s">
        <v>4</v>
      </c>
      <c r="N247" s="295" t="s">
        <v>227</v>
      </c>
    </row>
    <row r="248" spans="2:14" x14ac:dyDescent="0.2">
      <c r="B248" s="296" t="s">
        <v>106</v>
      </c>
      <c r="C248" s="297">
        <f>$C$6</f>
        <v>0.85</v>
      </c>
      <c r="D248" s="297">
        <f>$D$6</f>
        <v>0.63</v>
      </c>
      <c r="E248" s="297">
        <f>$E$6</f>
        <v>0.64</v>
      </c>
      <c r="F248" s="297">
        <f>$F$6</f>
        <v>2.12</v>
      </c>
      <c r="G248" s="297">
        <f>$G$6</f>
        <v>0.24</v>
      </c>
      <c r="H248" s="297">
        <f>$H$6</f>
        <v>1.48</v>
      </c>
      <c r="I248" s="297">
        <f>$I$6</f>
        <v>0.22</v>
      </c>
      <c r="J248" s="297">
        <f>$J$6</f>
        <v>1.94</v>
      </c>
      <c r="K248" s="297">
        <f>$K$6</f>
        <v>2.4</v>
      </c>
      <c r="L248" s="298">
        <f>$L$6</f>
        <v>0.12</v>
      </c>
      <c r="M248" s="298">
        <f>$M$6</f>
        <v>0.41690140845070423</v>
      </c>
      <c r="N248" s="297">
        <f>$N$6</f>
        <v>6.46</v>
      </c>
    </row>
    <row r="249" spans="2:14" x14ac:dyDescent="0.2">
      <c r="B249" s="296" t="s">
        <v>423</v>
      </c>
      <c r="C249" s="297">
        <f>$C$22</f>
        <v>0.6</v>
      </c>
      <c r="D249" s="297">
        <f>$D$22</f>
        <v>0.69</v>
      </c>
      <c r="E249" s="297">
        <f>$E$22</f>
        <v>1.04</v>
      </c>
      <c r="F249" s="297">
        <f>$F$22</f>
        <v>2.33</v>
      </c>
      <c r="G249" s="297">
        <f>$G$22</f>
        <v>0.8</v>
      </c>
      <c r="H249" s="297">
        <f>$H$22</f>
        <v>1.75</v>
      </c>
      <c r="I249" s="297">
        <f>$I$22</f>
        <v>0.26</v>
      </c>
      <c r="J249" s="297">
        <f>$J$22</f>
        <v>2.8099999999999996</v>
      </c>
      <c r="K249" s="297">
        <f>$K$22</f>
        <v>2.11</v>
      </c>
      <c r="L249" s="298">
        <f>$L$22</f>
        <v>5.2569000000000005E-2</v>
      </c>
      <c r="M249" s="298">
        <f>$M$22</f>
        <v>0.875</v>
      </c>
      <c r="N249" s="297">
        <f>$N$22</f>
        <v>7.25</v>
      </c>
    </row>
    <row r="250" spans="2:14" x14ac:dyDescent="0.2">
      <c r="B250" s="296" t="s">
        <v>89</v>
      </c>
      <c r="C250" s="297">
        <f>$C$7</f>
        <v>0.48</v>
      </c>
      <c r="D250" s="297">
        <f>$D$7</f>
        <v>0.3</v>
      </c>
      <c r="E250" s="297">
        <f>$E$7</f>
        <v>0.44</v>
      </c>
      <c r="F250" s="297">
        <f>$F$7</f>
        <v>1.22</v>
      </c>
      <c r="G250" s="297">
        <f>$G$7</f>
        <v>0.4</v>
      </c>
      <c r="H250" s="297">
        <f>$H$7</f>
        <v>0.28999999999999998</v>
      </c>
      <c r="I250" s="297">
        <f>$I$7</f>
        <v>0.04</v>
      </c>
      <c r="J250" s="297">
        <f>$J$7</f>
        <v>0.73</v>
      </c>
      <c r="K250" s="297">
        <f>$K$7</f>
        <v>0.6</v>
      </c>
      <c r="L250" s="298">
        <f>$L$7</f>
        <v>0.03</v>
      </c>
      <c r="M250" s="298">
        <f>$M$7</f>
        <v>0.14499999999999999</v>
      </c>
      <c r="N250" s="297">
        <f>$N$7</f>
        <v>2.5499999999999998</v>
      </c>
    </row>
    <row r="251" spans="2:14" x14ac:dyDescent="0.2">
      <c r="B251" s="296" t="s">
        <v>90</v>
      </c>
      <c r="C251" s="297">
        <f>$C$9</f>
        <v>0.48</v>
      </c>
      <c r="D251" s="297">
        <f>$D$9</f>
        <v>0.24</v>
      </c>
      <c r="E251" s="297">
        <f>$E$9</f>
        <v>0.14000000000000001</v>
      </c>
      <c r="F251" s="297">
        <f>$F$9</f>
        <v>0.86</v>
      </c>
      <c r="G251" s="297">
        <f>$G$9</f>
        <v>0.16</v>
      </c>
      <c r="H251" s="297">
        <f>$H$9</f>
        <v>0.06</v>
      </c>
      <c r="I251" s="297">
        <f>$I$9</f>
        <v>0.01</v>
      </c>
      <c r="J251" s="297">
        <f>$J$9</f>
        <v>0.23</v>
      </c>
      <c r="K251" s="297">
        <f>$K$9</f>
        <v>0.16</v>
      </c>
      <c r="L251" s="298">
        <f>$L$9</f>
        <v>8.0000000000000002E-3</v>
      </c>
      <c r="M251" s="298">
        <f>$M$9</f>
        <v>1.6901408450704227E-2</v>
      </c>
      <c r="N251" s="297">
        <f>$N$9</f>
        <v>1.25</v>
      </c>
    </row>
    <row r="252" spans="2:14" ht="12.95" customHeight="1" x14ac:dyDescent="0.2">
      <c r="B252" s="296" t="s">
        <v>79</v>
      </c>
      <c r="C252" s="297">
        <f>$C$10</f>
        <v>0.2</v>
      </c>
      <c r="D252" s="297">
        <f>$D$10</f>
        <v>0.122</v>
      </c>
      <c r="E252" s="297">
        <f>$E$10</f>
        <v>2.1999999999999999E-2</v>
      </c>
      <c r="F252" s="297">
        <f>$F$10</f>
        <v>0.34400000000000003</v>
      </c>
      <c r="G252" s="297">
        <f>$G$10</f>
        <v>0.04</v>
      </c>
      <c r="H252" s="297">
        <f>$H$10</f>
        <v>0.25600000000000001</v>
      </c>
      <c r="I252" s="297">
        <f>$I$10</f>
        <v>3.7999999999999999E-2</v>
      </c>
      <c r="J252" s="297">
        <f>$J$10</f>
        <v>0.33399999999999996</v>
      </c>
      <c r="K252" s="297">
        <f>$K$10</f>
        <v>1.32</v>
      </c>
      <c r="L252" s="298">
        <f>$L$10</f>
        <v>6.6000000000000003E-2</v>
      </c>
      <c r="M252" s="298">
        <f>$M$10</f>
        <v>7.2112676056338032E-2</v>
      </c>
      <c r="N252" s="297">
        <f>$N$10</f>
        <v>1.998</v>
      </c>
    </row>
    <row r="253" spans="2:14" x14ac:dyDescent="0.2">
      <c r="B253" s="296" t="s">
        <v>107</v>
      </c>
      <c r="C253" s="297">
        <f>$C$11</f>
        <v>0.16700000000000001</v>
      </c>
      <c r="D253" s="297">
        <f>$D$11</f>
        <v>0.17599999999999999</v>
      </c>
      <c r="E253" s="297">
        <f>$E$11</f>
        <v>3.1E-2</v>
      </c>
      <c r="F253" s="297">
        <f>$F$11</f>
        <v>0.374</v>
      </c>
      <c r="G253" s="297">
        <f>$G$11</f>
        <v>0.08</v>
      </c>
      <c r="H253" s="297">
        <f>$H$11</f>
        <v>0.42</v>
      </c>
      <c r="I253" s="297">
        <f>$I$11</f>
        <v>6.3E-2</v>
      </c>
      <c r="J253" s="297">
        <f>$J$11</f>
        <v>0.56299999999999994</v>
      </c>
      <c r="K253" s="297">
        <f>$K$11</f>
        <v>0.88</v>
      </c>
      <c r="L253" s="298">
        <f>$L$11</f>
        <v>4.3999999999999997E-2</v>
      </c>
      <c r="M253" s="298">
        <f>$M$11</f>
        <v>0.21</v>
      </c>
      <c r="N253" s="297">
        <f>$N$11</f>
        <v>1.8170000000000002</v>
      </c>
    </row>
    <row r="254" spans="2:14" ht="12.95" customHeight="1" x14ac:dyDescent="0.2">
      <c r="B254" s="296" t="s">
        <v>28</v>
      </c>
      <c r="C254" s="297">
        <f>$C$13</f>
        <v>6.55</v>
      </c>
      <c r="D254" s="297">
        <f>$D$13</f>
        <v>4.42</v>
      </c>
      <c r="E254" s="297">
        <f>$E$13</f>
        <v>1.7</v>
      </c>
      <c r="F254" s="297">
        <f>$F$13</f>
        <v>12.669999999999998</v>
      </c>
      <c r="G254" s="297">
        <f>$G$13</f>
        <v>2.46</v>
      </c>
      <c r="H254" s="297">
        <f>$H$13</f>
        <v>2.86</v>
      </c>
      <c r="I254" s="297">
        <f>$I$13</f>
        <v>0.43</v>
      </c>
      <c r="J254" s="297">
        <f>$J$13</f>
        <v>5.75</v>
      </c>
      <c r="K254" s="297">
        <f>$K$13</f>
        <v>2.0499999999999998</v>
      </c>
      <c r="L254" s="298">
        <f>$L$13</f>
        <v>0.27625443037974684</v>
      </c>
      <c r="M254" s="298">
        <f>$M$13</f>
        <v>1.43</v>
      </c>
      <c r="N254" s="297">
        <f>$N$13</f>
        <v>20.47</v>
      </c>
    </row>
    <row r="255" spans="2:14" ht="12.95" customHeight="1" x14ac:dyDescent="0.2">
      <c r="B255" s="136" t="s">
        <v>300</v>
      </c>
      <c r="C255" s="307"/>
      <c r="D255" s="307"/>
      <c r="E255" s="307"/>
      <c r="F255" s="307"/>
      <c r="G255" s="307"/>
      <c r="H255" s="307"/>
      <c r="I255" s="307"/>
      <c r="J255" s="307"/>
      <c r="K255" s="307"/>
      <c r="L255" s="308"/>
      <c r="M255" s="308"/>
      <c r="N255" s="309"/>
    </row>
    <row r="256" spans="2:14" ht="12.95" customHeight="1" x14ac:dyDescent="0.2">
      <c r="B256" s="296" t="s">
        <v>108</v>
      </c>
      <c r="C256" s="297">
        <f>$C$12</f>
        <v>1.83</v>
      </c>
      <c r="D256" s="297">
        <f>$D$12</f>
        <v>1.21</v>
      </c>
      <c r="E256" s="297">
        <f>$E$12</f>
        <v>0.38</v>
      </c>
      <c r="F256" s="297">
        <f>$F$12</f>
        <v>3.42</v>
      </c>
      <c r="G256" s="297">
        <f>$G$12</f>
        <v>1.35</v>
      </c>
      <c r="H256" s="297">
        <f>$H$12</f>
        <v>3.45</v>
      </c>
      <c r="I256" s="297">
        <f>$I$12</f>
        <v>0.52</v>
      </c>
      <c r="J256" s="297">
        <f>$J$12</f>
        <v>5.32</v>
      </c>
      <c r="K256" s="297">
        <f>$K$12</f>
        <v>1.42</v>
      </c>
      <c r="L256" s="298">
        <f>$L$12</f>
        <v>9.6789873417721509E-2</v>
      </c>
      <c r="M256" s="298">
        <f>$M$12</f>
        <v>1.7250000000000001</v>
      </c>
      <c r="N256" s="297">
        <f>$N$12</f>
        <v>10.16</v>
      </c>
    </row>
    <row r="257" spans="2:14" x14ac:dyDescent="0.2">
      <c r="B257" s="296" t="s">
        <v>109</v>
      </c>
      <c r="C257" s="297">
        <f>$C$15</f>
        <v>0.89</v>
      </c>
      <c r="D257" s="297">
        <f>$D$15</f>
        <v>0.88</v>
      </c>
      <c r="E257" s="297">
        <f>$E$15</f>
        <v>0.13</v>
      </c>
      <c r="F257" s="297">
        <f>$F$15</f>
        <v>1.9</v>
      </c>
      <c r="G257" s="297">
        <f>$G$15</f>
        <v>0.63</v>
      </c>
      <c r="H257" s="297">
        <f>$H$15</f>
        <v>2.94</v>
      </c>
      <c r="I257" s="297">
        <f>$I$15</f>
        <v>0.44</v>
      </c>
      <c r="J257" s="297">
        <f>$J$15</f>
        <v>4.01</v>
      </c>
      <c r="K257" s="297">
        <f>$K$15</f>
        <v>1.32</v>
      </c>
      <c r="L257" s="298">
        <f>$L$15</f>
        <v>6.6543037974683555E-2</v>
      </c>
      <c r="M257" s="298">
        <f>$M$15</f>
        <v>1.47</v>
      </c>
      <c r="N257" s="297">
        <f>$N$15</f>
        <v>7.23</v>
      </c>
    </row>
    <row r="258" spans="2:14" x14ac:dyDescent="0.2">
      <c r="B258" s="296" t="s">
        <v>109</v>
      </c>
      <c r="C258" s="297">
        <f>$C$15</f>
        <v>0.89</v>
      </c>
      <c r="D258" s="297">
        <f>$D$15</f>
        <v>0.88</v>
      </c>
      <c r="E258" s="297">
        <f>$E$15</f>
        <v>0.13</v>
      </c>
      <c r="F258" s="297">
        <f>$F$15</f>
        <v>1.9</v>
      </c>
      <c r="G258" s="297">
        <f>$G$15</f>
        <v>0.63</v>
      </c>
      <c r="H258" s="297">
        <f>$H$15</f>
        <v>2.94</v>
      </c>
      <c r="I258" s="297">
        <f>$I$15</f>
        <v>0.44</v>
      </c>
      <c r="J258" s="297">
        <f>$J$15</f>
        <v>4.01</v>
      </c>
      <c r="K258" s="297">
        <f>$K$15</f>
        <v>1.32</v>
      </c>
      <c r="L258" s="298">
        <f>$L$15</f>
        <v>6.6543037974683555E-2</v>
      </c>
      <c r="M258" s="298">
        <f>$M$15</f>
        <v>1.47</v>
      </c>
      <c r="N258" s="297">
        <f>$N$15</f>
        <v>7.23</v>
      </c>
    </row>
    <row r="259" spans="2:14" x14ac:dyDescent="0.2">
      <c r="B259" s="296" t="s">
        <v>83</v>
      </c>
      <c r="C259" s="297">
        <f>$C$19</f>
        <v>1.91</v>
      </c>
      <c r="D259" s="297">
        <f>$D$19</f>
        <v>1.26</v>
      </c>
      <c r="E259" s="297">
        <f>$E$19</f>
        <v>0.15</v>
      </c>
      <c r="F259" s="297">
        <f>$F$19</f>
        <v>3.32</v>
      </c>
      <c r="G259" s="297">
        <f>$G$19</f>
        <v>1.04</v>
      </c>
      <c r="H259" s="297">
        <f>$H$19</f>
        <v>2.31</v>
      </c>
      <c r="I259" s="297">
        <f>$I$19</f>
        <v>0.35</v>
      </c>
      <c r="J259" s="297">
        <f>$J$19</f>
        <v>3.7</v>
      </c>
      <c r="K259" s="297">
        <f>$K$19</f>
        <v>0.95</v>
      </c>
      <c r="L259" s="298">
        <f>$L$19</f>
        <v>6.3854430379746835E-2</v>
      </c>
      <c r="M259" s="298">
        <f>$M$19</f>
        <v>1.155</v>
      </c>
      <c r="N259" s="297">
        <f>$N$19</f>
        <v>7.9700000000000006</v>
      </c>
    </row>
    <row r="260" spans="2:14" x14ac:dyDescent="0.2">
      <c r="B260" s="296" t="s">
        <v>424</v>
      </c>
      <c r="C260" s="297">
        <f>$C$20</f>
        <v>0.61</v>
      </c>
      <c r="D260" s="297">
        <f>$D$20</f>
        <v>0.49</v>
      </c>
      <c r="E260" s="297">
        <f>$E$20</f>
        <v>0.09</v>
      </c>
      <c r="F260" s="297">
        <f>$F$20</f>
        <v>1.1900000000000002</v>
      </c>
      <c r="G260" s="297">
        <f>$G$20</f>
        <v>0.28000000000000003</v>
      </c>
      <c r="H260" s="297">
        <f>$H$20</f>
        <v>2.5299999999999998</v>
      </c>
      <c r="I260" s="297">
        <f>$I$20</f>
        <v>0.38</v>
      </c>
      <c r="J260" s="297">
        <f>$J$20</f>
        <v>3.1899999999999995</v>
      </c>
      <c r="K260" s="297">
        <f>$K$20</f>
        <v>1.1299999999999999</v>
      </c>
      <c r="L260" s="298">
        <f>$L$20</f>
        <v>6.9231645569620262E-2</v>
      </c>
      <c r="M260" s="298">
        <f>$M$20</f>
        <v>1.2649999999999999</v>
      </c>
      <c r="N260" s="297">
        <f>$N$20</f>
        <v>5.51</v>
      </c>
    </row>
    <row r="261" spans="2:14" x14ac:dyDescent="0.2">
      <c r="B261" s="296" t="s">
        <v>448</v>
      </c>
      <c r="C261" s="297">
        <f>$C$8</f>
        <v>0.79300000000000004</v>
      </c>
      <c r="D261" s="297">
        <f>$D$8</f>
        <v>0.623</v>
      </c>
      <c r="E261" s="297">
        <f>$E$8</f>
        <v>0.09</v>
      </c>
      <c r="F261" s="297">
        <f>$F$8</f>
        <v>1.506</v>
      </c>
      <c r="G261" s="297">
        <f>$G$8</f>
        <v>0.41799999999999998</v>
      </c>
      <c r="H261" s="297">
        <f>$H$8</f>
        <v>1.4</v>
      </c>
      <c r="I261" s="297">
        <f>$I$8</f>
        <v>0.21</v>
      </c>
      <c r="J261" s="297">
        <f>$J$8</f>
        <v>2.028</v>
      </c>
      <c r="K261" s="297">
        <f>$K$8</f>
        <v>0.88</v>
      </c>
      <c r="L261" s="298">
        <f>$L$8</f>
        <v>4.3999999999999997E-2</v>
      </c>
      <c r="M261" s="298">
        <f>$M$8</f>
        <v>0.7</v>
      </c>
      <c r="N261" s="297">
        <f>$N$8</f>
        <v>4.4139999999999997</v>
      </c>
    </row>
    <row r="262" spans="2:14" x14ac:dyDescent="0.2">
      <c r="B262" s="136" t="s">
        <v>300</v>
      </c>
      <c r="C262" s="297"/>
      <c r="D262" s="297"/>
      <c r="E262" s="297"/>
      <c r="F262" s="297"/>
      <c r="G262" s="297"/>
      <c r="H262" s="297"/>
      <c r="I262" s="297"/>
      <c r="J262" s="297"/>
      <c r="K262" s="297"/>
      <c r="L262" s="298"/>
      <c r="M262" s="298"/>
      <c r="N262" s="297"/>
    </row>
    <row r="263" spans="2:14" x14ac:dyDescent="0.2">
      <c r="B263" s="296" t="s">
        <v>84</v>
      </c>
      <c r="C263" s="297">
        <f>$C$14</f>
        <v>0.96</v>
      </c>
      <c r="D263" s="297">
        <f>$D$14</f>
        <v>0.81</v>
      </c>
      <c r="E263" s="297">
        <f>$E$14</f>
        <v>0.11</v>
      </c>
      <c r="F263" s="297">
        <f>$F$14</f>
        <v>1.8800000000000001</v>
      </c>
      <c r="G263" s="297">
        <f>$G$14</f>
        <v>0.86</v>
      </c>
      <c r="H263" s="297">
        <f>$H$14</f>
        <v>0.85</v>
      </c>
      <c r="I263" s="297">
        <f>$I$14</f>
        <v>0.13</v>
      </c>
      <c r="J263" s="297">
        <f>$J$14</f>
        <v>1.8399999999999999</v>
      </c>
      <c r="K263" s="297">
        <f>$K$14</f>
        <v>0.59</v>
      </c>
      <c r="L263" s="298">
        <f>$L$14</f>
        <v>3.4279746835443041E-2</v>
      </c>
      <c r="M263" s="298">
        <f>$M$14</f>
        <v>0.42499999999999999</v>
      </c>
      <c r="N263" s="297">
        <f>$N$14</f>
        <v>4.3099999999999996</v>
      </c>
    </row>
    <row r="264" spans="2:14" x14ac:dyDescent="0.2">
      <c r="B264" s="301" t="s">
        <v>11</v>
      </c>
      <c r="C264" s="302">
        <f>SUM(C248:C263)</f>
        <v>17.21</v>
      </c>
      <c r="D264" s="302">
        <f t="shared" ref="D264:M264" si="18">SUM(D248:D263)</f>
        <v>12.731</v>
      </c>
      <c r="E264" s="302">
        <f t="shared" si="18"/>
        <v>5.093</v>
      </c>
      <c r="F264" s="302">
        <f t="shared" si="18"/>
        <v>35.033999999999999</v>
      </c>
      <c r="G264" s="302">
        <f t="shared" si="18"/>
        <v>9.3879999999999981</v>
      </c>
      <c r="H264" s="302">
        <f t="shared" si="18"/>
        <v>23.535999999999998</v>
      </c>
      <c r="I264" s="302">
        <f t="shared" si="18"/>
        <v>3.5309999999999997</v>
      </c>
      <c r="J264" s="302">
        <f t="shared" si="18"/>
        <v>36.454999999999998</v>
      </c>
      <c r="K264" s="302">
        <f t="shared" si="18"/>
        <v>17.13</v>
      </c>
      <c r="L264" s="421">
        <f t="shared" si="18"/>
        <v>1.0380652025316455</v>
      </c>
      <c r="M264" s="421">
        <f t="shared" si="18"/>
        <v>11.375915492957747</v>
      </c>
      <c r="N264" s="302">
        <f>SUM(N248:N263)</f>
        <v>88.619000000000014</v>
      </c>
    </row>
    <row r="267" spans="2:14" x14ac:dyDescent="0.2">
      <c r="D267" s="620"/>
      <c r="E267" s="620"/>
      <c r="F267" s="620"/>
      <c r="G267" s="620"/>
      <c r="H267" s="620"/>
      <c r="I267" s="620"/>
      <c r="J267" s="620"/>
      <c r="K267" s="620"/>
      <c r="L267" s="620"/>
      <c r="M267" s="620"/>
      <c r="N267" s="620"/>
    </row>
  </sheetData>
  <mergeCells count="106">
    <mergeCell ref="D267:N267"/>
    <mergeCell ref="C153:F153"/>
    <mergeCell ref="G153:J153"/>
    <mergeCell ref="B175:N175"/>
    <mergeCell ref="C176:F176"/>
    <mergeCell ref="G176:J176"/>
    <mergeCell ref="K176:L176"/>
    <mergeCell ref="N176:N177"/>
    <mergeCell ref="E177:E178"/>
    <mergeCell ref="B198:N198"/>
    <mergeCell ref="E246:E247"/>
    <mergeCell ref="N245:N246"/>
    <mergeCell ref="C199:F199"/>
    <mergeCell ref="G199:J199"/>
    <mergeCell ref="B244:N244"/>
    <mergeCell ref="G245:J245"/>
    <mergeCell ref="G154:G155"/>
    <mergeCell ref="K245:L245"/>
    <mergeCell ref="G222:J222"/>
    <mergeCell ref="C245:F245"/>
    <mergeCell ref="E200:E201"/>
    <mergeCell ref="C154:C155"/>
    <mergeCell ref="K153:L153"/>
    <mergeCell ref="N153:N154"/>
    <mergeCell ref="C84:F84"/>
    <mergeCell ref="G84:J84"/>
    <mergeCell ref="B152:N152"/>
    <mergeCell ref="E154:E155"/>
    <mergeCell ref="E223:E224"/>
    <mergeCell ref="B221:N221"/>
    <mergeCell ref="K222:L222"/>
    <mergeCell ref="N222:N223"/>
    <mergeCell ref="C222:F222"/>
    <mergeCell ref="N199:N200"/>
    <mergeCell ref="K199:L199"/>
    <mergeCell ref="H154:H155"/>
    <mergeCell ref="I154:I155"/>
    <mergeCell ref="J154:J155"/>
    <mergeCell ref="D154:D155"/>
    <mergeCell ref="F154:F155"/>
    <mergeCell ref="K107:L107"/>
    <mergeCell ref="N107:N108"/>
    <mergeCell ref="B106:N106"/>
    <mergeCell ref="J131:J132"/>
    <mergeCell ref="C131:C132"/>
    <mergeCell ref="D131:D132"/>
    <mergeCell ref="F131:F132"/>
    <mergeCell ref="B129:N129"/>
    <mergeCell ref="K130:L130"/>
    <mergeCell ref="C130:F130"/>
    <mergeCell ref="N130:N131"/>
    <mergeCell ref="E108:E109"/>
    <mergeCell ref="G130:J130"/>
    <mergeCell ref="G107:J107"/>
    <mergeCell ref="C107:F107"/>
    <mergeCell ref="G131:G132"/>
    <mergeCell ref="H131:H132"/>
    <mergeCell ref="E131:E132"/>
    <mergeCell ref="I131:I132"/>
    <mergeCell ref="K84:L84"/>
    <mergeCell ref="N84:N85"/>
    <mergeCell ref="B83:N83"/>
    <mergeCell ref="I41:I42"/>
    <mergeCell ref="J41:J42"/>
    <mergeCell ref="E85:E86"/>
    <mergeCell ref="G63:G64"/>
    <mergeCell ref="H63:H64"/>
    <mergeCell ref="I63:I64"/>
    <mergeCell ref="J63:J64"/>
    <mergeCell ref="B61:N61"/>
    <mergeCell ref="C62:F62"/>
    <mergeCell ref="C41:C42"/>
    <mergeCell ref="D41:D42"/>
    <mergeCell ref="F41:F42"/>
    <mergeCell ref="G41:G42"/>
    <mergeCell ref="H41:H42"/>
    <mergeCell ref="G62:J62"/>
    <mergeCell ref="K62:L62"/>
    <mergeCell ref="N62:N63"/>
    <mergeCell ref="C63:C64"/>
    <mergeCell ref="D63:D64"/>
    <mergeCell ref="E63:E64"/>
    <mergeCell ref="F63:F64"/>
    <mergeCell ref="B2:N2"/>
    <mergeCell ref="B26:D26"/>
    <mergeCell ref="K3:L3"/>
    <mergeCell ref="N3:N4"/>
    <mergeCell ref="B24:N24"/>
    <mergeCell ref="B27:D27"/>
    <mergeCell ref="C3:F3"/>
    <mergeCell ref="G3:J3"/>
    <mergeCell ref="B30:D30"/>
    <mergeCell ref="B28:D28"/>
    <mergeCell ref="B29:D29"/>
    <mergeCell ref="B31:D31"/>
    <mergeCell ref="B37:D37"/>
    <mergeCell ref="B36:D36"/>
    <mergeCell ref="B35:D35"/>
    <mergeCell ref="B33:D33"/>
    <mergeCell ref="B32:D32"/>
    <mergeCell ref="B39:N39"/>
    <mergeCell ref="K40:L40"/>
    <mergeCell ref="N40:N41"/>
    <mergeCell ref="C40:F40"/>
    <mergeCell ref="G40:J40"/>
    <mergeCell ref="E41:E42"/>
  </mergeCells>
  <phoneticPr fontId="7" type="noConversion"/>
  <hyperlinks>
    <hyperlink ref="B37:D37" location="SCMC" display="Spring Canola"/>
    <hyperlink ref="B36:D36" location="GMC" display="Chickpeas"/>
    <hyperlink ref="B35:D35" location="SLMC" display="Spring Lentils"/>
    <hyperlink ref="B33:D33" location="SPMC" display="Spring Peas"/>
    <hyperlink ref="B32:D32" location="SBMC" display="Spring Barley"/>
    <hyperlink ref="B31:D31" location="RSWMC" display="Hard Red Spring Wheat"/>
    <hyperlink ref="B30:D30" location="SWMC" display="Soft White Spring Wheat"/>
    <hyperlink ref="B28:D28" location="WWMC" display="Soft White Winter Wheat"/>
    <hyperlink ref="B34" location="'Machinery Costs'!A202" display="Austrian Winter Peas"/>
    <hyperlink ref="B29:D29" location="WWMC" display="Hard Red Winter Wheat"/>
  </hyperlinks>
  <printOptions horizontalCentered="1"/>
  <pageMargins left="0.75" right="0.75" top="1" bottom="1" header="0" footer="0.5"/>
  <pageSetup scale="69" fitToHeight="5" orientation="portrait" r:id="rId1"/>
  <headerFooter alignWithMargins="0">
    <oddFooter>&amp;L&amp;A&amp;C                      &amp;F&amp;R&amp;D</oddFooter>
  </headerFooter>
  <rowBreaks count="3" manualBreakCount="3">
    <brk id="60" min="1" max="13" man="1"/>
    <brk id="127" min="1" max="13" man="1"/>
    <brk id="197" min="1" max="13" man="1"/>
  </rowBreaks>
  <ignoredErrors>
    <ignoredError sqref="D103:L103 C126:M126 C149:N149 C172:M172 C218:M218 C241:L241 N241" emptyCellReference="1"/>
    <ignoredError sqref="J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topLeftCell="A10" zoomScale="80" zoomScaleNormal="80" workbookViewId="0">
      <selection activeCell="F32" sqref="F32"/>
    </sheetView>
  </sheetViews>
  <sheetFormatPr defaultRowHeight="12.75" x14ac:dyDescent="0.2"/>
  <cols>
    <col min="1" max="1" width="39.85546875" customWidth="1"/>
    <col min="2" max="2" width="9.85546875" customWidth="1"/>
    <col min="3" max="3" width="13.7109375" customWidth="1"/>
    <col min="4" max="5" width="12.85546875" customWidth="1"/>
    <col min="6" max="6" width="16.140625" customWidth="1"/>
    <col min="7" max="7" width="16" customWidth="1"/>
    <col min="8" max="8" width="13.140625" customWidth="1"/>
    <col min="9" max="9" width="14.28515625" customWidth="1"/>
    <col min="10" max="10" width="15.5703125" customWidth="1"/>
    <col min="11" max="11" width="14.85546875" customWidth="1"/>
  </cols>
  <sheetData>
    <row r="1" spans="1:12" ht="15.75" x14ac:dyDescent="0.25">
      <c r="A1" s="489" t="s">
        <v>596</v>
      </c>
      <c r="B1" s="490"/>
      <c r="C1" s="490"/>
      <c r="D1" s="491"/>
      <c r="E1" s="490"/>
      <c r="F1" s="490"/>
      <c r="G1" s="490"/>
      <c r="H1" s="490"/>
      <c r="I1" s="490"/>
      <c r="J1" s="490"/>
      <c r="K1" s="490"/>
      <c r="L1" s="231"/>
    </row>
    <row r="2" spans="1:12" ht="15.75" x14ac:dyDescent="0.25">
      <c r="A2" s="506"/>
      <c r="B2" s="507"/>
      <c r="C2" s="508"/>
      <c r="D2" s="509"/>
      <c r="E2" s="508"/>
      <c r="F2" s="510"/>
      <c r="G2" s="511"/>
      <c r="H2" s="510"/>
      <c r="I2" s="507"/>
      <c r="J2" s="510"/>
      <c r="K2" s="510"/>
      <c r="L2" s="510"/>
    </row>
    <row r="3" spans="1:12" ht="15.75" x14ac:dyDescent="0.25">
      <c r="A3" s="512"/>
      <c r="B3" s="328"/>
      <c r="C3" s="333"/>
      <c r="D3" s="513"/>
      <c r="E3" s="333"/>
      <c r="F3" s="231"/>
      <c r="G3" s="514"/>
      <c r="H3" s="493" t="s">
        <v>215</v>
      </c>
      <c r="I3" s="328"/>
      <c r="J3" s="493" t="s">
        <v>123</v>
      </c>
      <c r="K3" s="493" t="s">
        <v>312</v>
      </c>
      <c r="L3" s="231"/>
    </row>
    <row r="4" spans="1:12" ht="18.75" x14ac:dyDescent="0.25">
      <c r="A4" s="515"/>
      <c r="B4" s="493"/>
      <c r="C4" s="333"/>
      <c r="D4" s="516" t="s">
        <v>504</v>
      </c>
      <c r="E4" s="333"/>
      <c r="F4" s="493" t="s">
        <v>215</v>
      </c>
      <c r="G4" s="329" t="s">
        <v>216</v>
      </c>
      <c r="H4" s="493" t="s">
        <v>222</v>
      </c>
      <c r="I4" s="493" t="s">
        <v>218</v>
      </c>
      <c r="J4" s="493" t="s">
        <v>594</v>
      </c>
      <c r="K4" s="493" t="s">
        <v>313</v>
      </c>
      <c r="L4" s="231"/>
    </row>
    <row r="5" spans="1:12" ht="18.75" x14ac:dyDescent="0.25">
      <c r="A5" s="231"/>
      <c r="B5" s="493"/>
      <c r="C5" s="494" t="s">
        <v>219</v>
      </c>
      <c r="D5" s="493" t="s">
        <v>592</v>
      </c>
      <c r="E5" s="494" t="s">
        <v>220</v>
      </c>
      <c r="F5" s="493" t="s">
        <v>9</v>
      </c>
      <c r="G5" s="329" t="s">
        <v>221</v>
      </c>
      <c r="H5" s="493" t="s">
        <v>10</v>
      </c>
      <c r="I5" s="493" t="s">
        <v>223</v>
      </c>
      <c r="J5" s="493" t="s">
        <v>158</v>
      </c>
      <c r="K5" s="515" t="s">
        <v>595</v>
      </c>
      <c r="L5" s="379"/>
    </row>
    <row r="6" spans="1:12" ht="15.75" x14ac:dyDescent="0.25">
      <c r="A6" s="495" t="s">
        <v>591</v>
      </c>
      <c r="B6" s="496" t="s">
        <v>157</v>
      </c>
      <c r="C6" s="497" t="s">
        <v>225</v>
      </c>
      <c r="D6" s="497" t="s">
        <v>226</v>
      </c>
      <c r="E6" s="497" t="s">
        <v>225</v>
      </c>
      <c r="F6" s="496" t="s">
        <v>289</v>
      </c>
      <c r="G6" s="498" t="s">
        <v>227</v>
      </c>
      <c r="H6" s="498" t="s">
        <v>227</v>
      </c>
      <c r="I6" s="498" t="s">
        <v>227</v>
      </c>
      <c r="J6" s="498" t="s">
        <v>227</v>
      </c>
      <c r="K6" s="492" t="s">
        <v>389</v>
      </c>
      <c r="L6" s="379"/>
    </row>
    <row r="7" spans="1:12" ht="15" x14ac:dyDescent="0.2">
      <c r="A7" s="501" t="s">
        <v>544</v>
      </c>
      <c r="B7" s="499" t="s">
        <v>256</v>
      </c>
      <c r="C7" s="257">
        <v>80</v>
      </c>
      <c r="D7" s="504">
        <v>3.61</v>
      </c>
      <c r="E7" s="258">
        <v>288.8</v>
      </c>
      <c r="F7" s="503">
        <v>363.71367850340744</v>
      </c>
      <c r="G7" s="503">
        <v>-74.913678503407425</v>
      </c>
      <c r="H7" s="503">
        <v>257.1046785034074</v>
      </c>
      <c r="I7" s="503">
        <v>31.695321496592612</v>
      </c>
      <c r="J7" s="503">
        <v>50</v>
      </c>
      <c r="K7" s="335" t="s">
        <v>311</v>
      </c>
      <c r="L7" s="230"/>
    </row>
    <row r="8" spans="1:12" ht="15" x14ac:dyDescent="0.2">
      <c r="A8" s="501" t="s">
        <v>545</v>
      </c>
      <c r="B8" s="499" t="s">
        <v>256</v>
      </c>
      <c r="C8" s="257">
        <v>75</v>
      </c>
      <c r="D8" s="504">
        <v>4.5999999999999996</v>
      </c>
      <c r="E8" s="258">
        <v>345</v>
      </c>
      <c r="F8" s="503">
        <v>406.62199100340752</v>
      </c>
      <c r="G8" s="503">
        <v>-61.621991003407516</v>
      </c>
      <c r="H8" s="503">
        <v>307.01299100340748</v>
      </c>
      <c r="I8" s="503">
        <v>37.987008996592522</v>
      </c>
      <c r="J8" s="503">
        <v>42</v>
      </c>
      <c r="K8" s="335" t="s">
        <v>311</v>
      </c>
      <c r="L8" s="230"/>
    </row>
    <row r="9" spans="1:12" ht="15" x14ac:dyDescent="0.2">
      <c r="A9" s="501" t="s">
        <v>182</v>
      </c>
      <c r="B9" s="499" t="s">
        <v>256</v>
      </c>
      <c r="C9" s="257">
        <v>58</v>
      </c>
      <c r="D9" s="504">
        <v>3.61</v>
      </c>
      <c r="E9" s="258">
        <v>209.38</v>
      </c>
      <c r="F9" s="503">
        <v>287.8056078847967</v>
      </c>
      <c r="G9" s="503">
        <v>-78.425607884796705</v>
      </c>
      <c r="H9" s="503">
        <v>211.17160788479671</v>
      </c>
      <c r="I9" s="503">
        <v>-1.7916078847967185</v>
      </c>
      <c r="J9" s="503">
        <v>25</v>
      </c>
      <c r="K9" s="335" t="s">
        <v>311</v>
      </c>
      <c r="L9" s="230"/>
    </row>
    <row r="10" spans="1:12" ht="15" x14ac:dyDescent="0.2">
      <c r="A10" s="501" t="s">
        <v>203</v>
      </c>
      <c r="B10" s="499" t="s">
        <v>256</v>
      </c>
      <c r="C10" s="257">
        <v>58</v>
      </c>
      <c r="D10" s="504">
        <v>4.72</v>
      </c>
      <c r="E10" s="258">
        <v>273.76</v>
      </c>
      <c r="F10" s="503">
        <v>347.70400000000018</v>
      </c>
      <c r="G10" s="503">
        <v>-73.944000000000187</v>
      </c>
      <c r="H10" s="503">
        <v>259.07000000000016</v>
      </c>
      <c r="I10" s="503">
        <v>14.689999999999827</v>
      </c>
      <c r="J10" s="503">
        <v>37</v>
      </c>
      <c r="K10" s="335" t="s">
        <v>311</v>
      </c>
      <c r="L10" s="230"/>
    </row>
    <row r="11" spans="1:12" ht="15" x14ac:dyDescent="0.2">
      <c r="A11" s="501" t="s">
        <v>140</v>
      </c>
      <c r="B11" s="499" t="s">
        <v>236</v>
      </c>
      <c r="C11" s="487">
        <v>1.5</v>
      </c>
      <c r="D11" s="504">
        <v>92</v>
      </c>
      <c r="E11" s="258">
        <v>138</v>
      </c>
      <c r="F11" s="503">
        <v>245.53133038479677</v>
      </c>
      <c r="G11" s="503">
        <v>-107.53133038479677</v>
      </c>
      <c r="H11" s="503">
        <v>192.89733038479679</v>
      </c>
      <c r="I11" s="503">
        <v>-54.897330384796788</v>
      </c>
      <c r="J11" s="503">
        <v>9</v>
      </c>
      <c r="K11" s="335" t="s">
        <v>311</v>
      </c>
      <c r="L11" s="230"/>
    </row>
    <row r="12" spans="1:12" ht="15" x14ac:dyDescent="0.2">
      <c r="A12" s="502" t="s">
        <v>141</v>
      </c>
      <c r="B12" s="332" t="s">
        <v>189</v>
      </c>
      <c r="C12" s="333">
        <v>1700</v>
      </c>
      <c r="D12" s="505">
        <v>0.24</v>
      </c>
      <c r="E12" s="330">
        <v>408</v>
      </c>
      <c r="F12" s="503">
        <v>351.58836691169552</v>
      </c>
      <c r="G12" s="503">
        <v>56.411633088304484</v>
      </c>
      <c r="H12" s="503">
        <v>204.84436691169549</v>
      </c>
      <c r="I12" s="503">
        <v>203.15563308830451</v>
      </c>
      <c r="J12" s="503">
        <v>87</v>
      </c>
      <c r="K12" s="500" t="s">
        <v>279</v>
      </c>
      <c r="L12" s="230"/>
    </row>
    <row r="13" spans="1:12" ht="15" x14ac:dyDescent="0.2">
      <c r="A13" s="502" t="s">
        <v>409</v>
      </c>
      <c r="B13" s="332" t="s">
        <v>189</v>
      </c>
      <c r="C13" s="333">
        <v>2000</v>
      </c>
      <c r="D13" s="505">
        <v>0.25</v>
      </c>
      <c r="E13" s="330">
        <v>500</v>
      </c>
      <c r="F13" s="503">
        <v>427.09354435942009</v>
      </c>
      <c r="G13" s="503">
        <v>72.906455640579907</v>
      </c>
      <c r="H13" s="503">
        <v>207.93954435942013</v>
      </c>
      <c r="I13" s="503">
        <v>292.0604556405799</v>
      </c>
      <c r="J13" s="503">
        <v>106</v>
      </c>
      <c r="K13" s="500" t="s">
        <v>279</v>
      </c>
      <c r="L13" s="230"/>
    </row>
    <row r="14" spans="1:12" ht="15" x14ac:dyDescent="0.2">
      <c r="A14" s="502" t="s">
        <v>142</v>
      </c>
      <c r="B14" s="332" t="s">
        <v>189</v>
      </c>
      <c r="C14" s="333">
        <v>1100</v>
      </c>
      <c r="D14" s="505">
        <v>0.30230000000000001</v>
      </c>
      <c r="E14" s="330">
        <v>332.53000000000003</v>
      </c>
      <c r="F14" s="503">
        <v>314.24817847419536</v>
      </c>
      <c r="G14" s="503">
        <v>18.281821525804673</v>
      </c>
      <c r="H14" s="503">
        <v>137.75417847419538</v>
      </c>
      <c r="I14" s="503">
        <v>194.77582152580464</v>
      </c>
      <c r="J14" s="503">
        <v>70</v>
      </c>
      <c r="K14" s="500" t="s">
        <v>279</v>
      </c>
      <c r="L14" s="230"/>
    </row>
    <row r="15" spans="1:12" ht="15" x14ac:dyDescent="0.2">
      <c r="A15" s="502" t="s">
        <v>512</v>
      </c>
      <c r="B15" s="332" t="s">
        <v>189</v>
      </c>
      <c r="C15" s="333">
        <v>1200</v>
      </c>
      <c r="D15" s="505">
        <v>0.32</v>
      </c>
      <c r="E15" s="330">
        <v>384</v>
      </c>
      <c r="F15" s="503">
        <v>341.28944097419549</v>
      </c>
      <c r="G15" s="503">
        <v>42.710559025804514</v>
      </c>
      <c r="H15" s="503">
        <v>199.3454409741955</v>
      </c>
      <c r="I15" s="503">
        <v>184.6545590258045</v>
      </c>
      <c r="J15" s="503">
        <v>83</v>
      </c>
      <c r="K15" s="500" t="s">
        <v>279</v>
      </c>
      <c r="L15" s="230"/>
    </row>
    <row r="16" spans="1:12" ht="15" x14ac:dyDescent="0.2">
      <c r="A16" s="502" t="s">
        <v>143</v>
      </c>
      <c r="B16" s="332" t="s">
        <v>189</v>
      </c>
      <c r="C16" s="333">
        <v>1500</v>
      </c>
      <c r="D16" s="505">
        <v>0.16</v>
      </c>
      <c r="E16" s="330">
        <v>240</v>
      </c>
      <c r="F16" s="503">
        <v>320.01865527008152</v>
      </c>
      <c r="G16" s="503">
        <v>-80.018655270081524</v>
      </c>
      <c r="H16" s="503">
        <v>225.98465527008153</v>
      </c>
      <c r="I16" s="503">
        <v>14.015344729918468</v>
      </c>
      <c r="J16" s="503">
        <v>42</v>
      </c>
      <c r="K16" s="335" t="s">
        <v>311</v>
      </c>
      <c r="L16" s="230"/>
    </row>
    <row r="17" spans="1:12" ht="8.25" customHeight="1" x14ac:dyDescent="0.25">
      <c r="A17" s="488"/>
      <c r="B17" s="332"/>
      <c r="C17" s="333"/>
      <c r="D17" s="334"/>
      <c r="E17" s="330"/>
      <c r="F17" s="330"/>
      <c r="G17" s="329"/>
      <c r="H17" s="330"/>
      <c r="I17" s="329"/>
      <c r="J17" s="330"/>
      <c r="K17" s="335"/>
      <c r="L17" s="230"/>
    </row>
    <row r="18" spans="1:12" ht="18" x14ac:dyDescent="0.2">
      <c r="A18" s="256" t="s">
        <v>593</v>
      </c>
      <c r="B18" s="257"/>
      <c r="C18" s="257"/>
      <c r="D18" s="258"/>
      <c r="E18" s="258"/>
      <c r="F18" s="258"/>
      <c r="G18" s="258"/>
      <c r="H18" s="258"/>
      <c r="I18" s="258"/>
      <c r="J18" s="258"/>
      <c r="K18" s="230"/>
      <c r="L18" s="230"/>
    </row>
    <row r="19" spans="1:12" ht="18" x14ac:dyDescent="0.2">
      <c r="A19" s="256" t="s">
        <v>597</v>
      </c>
      <c r="B19" s="257"/>
      <c r="C19" s="257"/>
      <c r="D19" s="258"/>
      <c r="E19" s="258"/>
      <c r="F19" s="258"/>
      <c r="G19" s="258"/>
      <c r="H19" s="258"/>
      <c r="I19" s="258"/>
      <c r="J19" s="258"/>
      <c r="K19" s="230"/>
      <c r="L19" s="230"/>
    </row>
    <row r="20" spans="1:12" ht="17.25" customHeight="1" x14ac:dyDescent="0.2">
      <c r="A20" s="256" t="s">
        <v>125</v>
      </c>
      <c r="B20" s="257"/>
      <c r="C20" s="257"/>
      <c r="D20" s="258"/>
      <c r="E20" s="258"/>
      <c r="F20" s="258"/>
      <c r="G20" s="258"/>
      <c r="H20" s="258"/>
      <c r="I20" s="258"/>
      <c r="J20" s="258"/>
      <c r="K20" s="230"/>
      <c r="L20" s="230"/>
    </row>
  </sheetData>
  <hyperlinks>
    <hyperlink ref="A7" location="'Soft White Winter Wheat'!A1" display="Soft White Winter Wheat (SWWW)"/>
    <hyperlink ref="A9" location="SW" display="Soft White Spring Wheat (SWSW)"/>
    <hyperlink ref="A10" location="RSW" display="Hard Red Spring Wheat (HRSW)"/>
    <hyperlink ref="A12" location="SPeas" display="Peas (P)"/>
    <hyperlink ref="A13" location="'Austrian Winter Peas'!A1" display="Austrian Winter Peas (AWP)"/>
    <hyperlink ref="A16" location="SC" display="Spring Canola (SC)"/>
    <hyperlink ref="A15" location="Garbanzos!A1" display="Chickpeas (CP)"/>
    <hyperlink ref="A14" location="SL" display="Lentils (L)"/>
    <hyperlink ref="A11" location="SB" display="Spring Barley (SB)"/>
  </hyperlink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6"/>
  <sheetViews>
    <sheetView topLeftCell="A38" zoomScale="91" zoomScaleNormal="91" workbookViewId="0">
      <selection activeCell="M57" sqref="A1:M57"/>
    </sheetView>
  </sheetViews>
  <sheetFormatPr defaultColWidth="8.7109375" defaultRowHeight="12.75" x14ac:dyDescent="0.2"/>
  <cols>
    <col min="1" max="2" width="3.140625" style="197" customWidth="1"/>
    <col min="3" max="3" width="18" style="197" customWidth="1"/>
    <col min="4" max="5" width="8.7109375" style="199" customWidth="1"/>
    <col min="6" max="6" width="22.140625" style="197" customWidth="1"/>
    <col min="7" max="14" width="8.7109375" style="197" customWidth="1"/>
    <col min="15" max="15" width="7.85546875" style="197" customWidth="1"/>
    <col min="16" max="17" width="8.7109375" style="197" customWidth="1"/>
    <col min="18" max="18" width="11.140625" style="197" customWidth="1"/>
    <col min="19" max="19" width="13.28515625" style="197" customWidth="1"/>
    <col min="20" max="22" width="8.7109375" style="197" customWidth="1"/>
    <col min="23" max="16384" width="8.7109375" style="197"/>
  </cols>
  <sheetData>
    <row r="1" spans="2:14" ht="15" customHeight="1" x14ac:dyDescent="0.2"/>
    <row r="2" spans="2:14" ht="23.25" customHeight="1" x14ac:dyDescent="0.2">
      <c r="B2" s="200"/>
      <c r="C2" s="218" t="s">
        <v>314</v>
      </c>
      <c r="D2" s="217"/>
      <c r="E2" s="217"/>
      <c r="F2" s="217"/>
      <c r="G2" s="217"/>
      <c r="H2" s="217"/>
      <c r="I2" s="217"/>
      <c r="J2" s="217"/>
      <c r="K2" s="217"/>
      <c r="L2" s="217"/>
      <c r="M2" s="200"/>
      <c r="N2" s="200"/>
    </row>
    <row r="3" spans="2:14" x14ac:dyDescent="0.2">
      <c r="C3" s="201"/>
    </row>
    <row r="4" spans="2:14" x14ac:dyDescent="0.2">
      <c r="C4" s="201"/>
      <c r="D4" s="202" t="s">
        <v>216</v>
      </c>
    </row>
    <row r="5" spans="2:14" x14ac:dyDescent="0.2">
      <c r="C5" s="201"/>
      <c r="D5" s="202" t="s">
        <v>221</v>
      </c>
    </row>
    <row r="6" spans="2:14" x14ac:dyDescent="0.2">
      <c r="C6" s="203" t="s">
        <v>224</v>
      </c>
      <c r="D6" s="202" t="s">
        <v>227</v>
      </c>
    </row>
    <row r="7" spans="2:14" ht="15.75" x14ac:dyDescent="0.25">
      <c r="C7" s="485" t="s">
        <v>566</v>
      </c>
      <c r="D7" s="205">
        <f>Summary!H15</f>
        <v>-82.390254352879253</v>
      </c>
      <c r="E7" s="199">
        <f>+D7/104</f>
        <v>-0.79221398416230049</v>
      </c>
      <c r="M7" s="206"/>
      <c r="N7" s="207"/>
    </row>
    <row r="8" spans="2:14" x14ac:dyDescent="0.2">
      <c r="C8" s="208" t="s">
        <v>204</v>
      </c>
      <c r="D8" s="205">
        <f>Summary!H19</f>
        <v>-107.74913559606443</v>
      </c>
      <c r="E8" s="199">
        <f t="shared" ref="E8:E15" si="0">+D8/104</f>
        <v>-1.0360493807313889</v>
      </c>
      <c r="M8" s="204"/>
      <c r="N8" s="209"/>
    </row>
    <row r="9" spans="2:14" x14ac:dyDescent="0.2">
      <c r="C9" s="208" t="s">
        <v>296</v>
      </c>
      <c r="D9" s="205">
        <f>Summary!H17</f>
        <v>-80.42010434606442</v>
      </c>
      <c r="E9" s="199">
        <f t="shared" si="0"/>
        <v>-0.77327023409677331</v>
      </c>
      <c r="M9" s="208"/>
      <c r="N9" s="209"/>
    </row>
    <row r="10" spans="2:14" x14ac:dyDescent="0.2">
      <c r="C10" s="208" t="s">
        <v>298</v>
      </c>
      <c r="D10" s="205">
        <f>Summary!H18</f>
        <v>-63.607000000000141</v>
      </c>
      <c r="E10" s="199">
        <f t="shared" si="0"/>
        <v>-0.61160576923077059</v>
      </c>
      <c r="M10" s="208"/>
      <c r="N10" s="209"/>
    </row>
    <row r="11" spans="2:14" x14ac:dyDescent="0.2">
      <c r="C11" s="208" t="s">
        <v>205</v>
      </c>
      <c r="D11" s="205">
        <f>Summary!H20</f>
        <v>-92.586608372963042</v>
      </c>
      <c r="E11" s="199">
        <f t="shared" si="0"/>
        <v>-0.89025584974002925</v>
      </c>
      <c r="I11" s="210" t="s">
        <v>297</v>
      </c>
      <c r="M11" s="541" t="s">
        <v>273</v>
      </c>
      <c r="N11" s="209"/>
    </row>
    <row r="12" spans="2:14" x14ac:dyDescent="0.2">
      <c r="C12" s="208" t="s">
        <v>206</v>
      </c>
      <c r="D12" s="205">
        <f>Summary!H22</f>
        <v>11.27169443953693</v>
      </c>
      <c r="E12" s="199">
        <f t="shared" si="0"/>
        <v>0.10838167730323971</v>
      </c>
      <c r="I12" s="313" t="s">
        <v>544</v>
      </c>
      <c r="M12" s="213">
        <f>Summary!E15</f>
        <v>3.61</v>
      </c>
      <c r="N12" s="209"/>
    </row>
    <row r="13" spans="2:14" s="482" customFormat="1" x14ac:dyDescent="0.2">
      <c r="C13" s="480" t="s">
        <v>565</v>
      </c>
      <c r="D13" s="205">
        <f>Summary!H16</f>
        <v>-67.138191852879459</v>
      </c>
      <c r="E13" s="199"/>
      <c r="I13" s="313" t="s">
        <v>545</v>
      </c>
      <c r="M13" s="213">
        <v>4.5999999999999996</v>
      </c>
      <c r="N13" s="209"/>
    </row>
    <row r="14" spans="2:14" x14ac:dyDescent="0.2">
      <c r="C14" s="208" t="s">
        <v>543</v>
      </c>
      <c r="D14" s="205">
        <f>Summary!H23</f>
        <v>40.004831939536984</v>
      </c>
      <c r="E14" s="199">
        <f t="shared" si="0"/>
        <v>0.38466184557247102</v>
      </c>
      <c r="I14" s="210" t="s">
        <v>182</v>
      </c>
      <c r="M14" s="213">
        <f>Summary!E17</f>
        <v>3.61</v>
      </c>
      <c r="N14" s="209"/>
    </row>
    <row r="15" spans="2:14" x14ac:dyDescent="0.2">
      <c r="C15" s="208" t="s">
        <v>295</v>
      </c>
      <c r="D15" s="205">
        <f>Summary!H24</f>
        <v>-84.798507356349205</v>
      </c>
      <c r="E15" s="199">
        <f t="shared" si="0"/>
        <v>-0.81537026304181925</v>
      </c>
      <c r="I15" s="210" t="s">
        <v>203</v>
      </c>
      <c r="M15" s="213">
        <f>Summary!E18</f>
        <v>4.72</v>
      </c>
      <c r="N15" s="209"/>
    </row>
    <row r="16" spans="2:14" x14ac:dyDescent="0.2">
      <c r="C16" s="214"/>
      <c r="D16" s="205"/>
      <c r="I16" s="210" t="s">
        <v>140</v>
      </c>
      <c r="M16" s="213">
        <f>Summary!E19</f>
        <v>92</v>
      </c>
      <c r="N16" s="209"/>
    </row>
    <row r="17" spans="3:14" s="472" customFormat="1" x14ac:dyDescent="0.2">
      <c r="C17" s="484" t="str">
        <f>C11</f>
        <v>P</v>
      </c>
      <c r="D17" s="534">
        <f>D11</f>
        <v>-92.586608372963042</v>
      </c>
      <c r="E17" s="199"/>
      <c r="I17" s="210" t="s">
        <v>142</v>
      </c>
      <c r="M17" s="213">
        <v>0.3</v>
      </c>
    </row>
    <row r="18" spans="3:14" x14ac:dyDescent="0.2">
      <c r="C18" s="198" t="str">
        <f>C14</f>
        <v>CP</v>
      </c>
      <c r="D18" s="535">
        <f>D14</f>
        <v>40.004831939536984</v>
      </c>
      <c r="I18" s="210" t="s">
        <v>141</v>
      </c>
      <c r="M18" s="213">
        <v>0.12</v>
      </c>
      <c r="N18" s="209"/>
    </row>
    <row r="19" spans="3:14" x14ac:dyDescent="0.2">
      <c r="C19" s="198" t="str">
        <f>C12</f>
        <v>L</v>
      </c>
      <c r="D19" s="535">
        <f>D12</f>
        <v>11.27169443953693</v>
      </c>
      <c r="I19" s="314" t="s">
        <v>512</v>
      </c>
      <c r="M19" s="213">
        <v>0.32</v>
      </c>
    </row>
    <row r="20" spans="3:14" s="482" customFormat="1" x14ac:dyDescent="0.2">
      <c r="C20" s="484" t="s">
        <v>298</v>
      </c>
      <c r="D20" s="534">
        <f>D10</f>
        <v>-63.607000000000141</v>
      </c>
      <c r="E20" s="199"/>
      <c r="I20" s="314" t="s">
        <v>143</v>
      </c>
      <c r="M20" s="213">
        <v>0.16</v>
      </c>
    </row>
    <row r="21" spans="3:14" x14ac:dyDescent="0.2">
      <c r="C21" s="198" t="s">
        <v>565</v>
      </c>
      <c r="D21" s="535">
        <f>D13</f>
        <v>-67.138191852879459</v>
      </c>
      <c r="I21" s="215"/>
      <c r="M21" s="213"/>
    </row>
    <row r="22" spans="3:14" s="473" customFormat="1" x14ac:dyDescent="0.2">
      <c r="C22" s="198" t="str">
        <f>C9</f>
        <v>SWSW</v>
      </c>
      <c r="D22" s="535">
        <f>D9</f>
        <v>-80.42010434606442</v>
      </c>
      <c r="E22" s="199"/>
      <c r="I22" s="215"/>
      <c r="M22" s="213"/>
    </row>
    <row r="23" spans="3:14" s="529" customFormat="1" x14ac:dyDescent="0.2">
      <c r="C23" s="198" t="s">
        <v>566</v>
      </c>
      <c r="D23" s="535">
        <f>D7</f>
        <v>-82.390254352879253</v>
      </c>
      <c r="E23" s="199"/>
      <c r="I23" s="215"/>
      <c r="M23" s="213"/>
    </row>
    <row r="24" spans="3:14" x14ac:dyDescent="0.2">
      <c r="C24" s="198" t="str">
        <f>C15</f>
        <v>SC</v>
      </c>
      <c r="D24" s="535">
        <f>D15</f>
        <v>-84.798507356349205</v>
      </c>
    </row>
    <row r="25" spans="3:14" s="536" customFormat="1" x14ac:dyDescent="0.2">
      <c r="C25" s="198" t="str">
        <f>C17</f>
        <v>P</v>
      </c>
      <c r="D25" s="535">
        <f>D17</f>
        <v>-92.586608372963042</v>
      </c>
      <c r="E25" s="199"/>
    </row>
    <row r="26" spans="3:14" x14ac:dyDescent="0.2">
      <c r="C26" s="198" t="str">
        <f>C8</f>
        <v>SB</v>
      </c>
      <c r="D26" s="535">
        <f>D8</f>
        <v>-107.74913559606443</v>
      </c>
    </row>
    <row r="27" spans="3:14" hidden="1" x14ac:dyDescent="0.2">
      <c r="C27" s="198" t="s">
        <v>295</v>
      </c>
      <c r="D27" s="205">
        <f>D15</f>
        <v>-84.798507356349205</v>
      </c>
    </row>
    <row r="28" spans="3:14" x14ac:dyDescent="0.2">
      <c r="C28" s="198"/>
      <c r="D28" s="205"/>
    </row>
    <row r="29" spans="3:14" ht="22.5" customHeight="1" x14ac:dyDescent="0.2">
      <c r="C29" s="198"/>
      <c r="D29" s="205"/>
    </row>
    <row r="30" spans="3:14" x14ac:dyDescent="0.2">
      <c r="C30" s="198"/>
      <c r="D30" s="216" t="s">
        <v>216</v>
      </c>
    </row>
    <row r="31" spans="3:14" x14ac:dyDescent="0.2">
      <c r="C31" s="198"/>
      <c r="D31" s="216" t="s">
        <v>221</v>
      </c>
    </row>
    <row r="32" spans="3:14" x14ac:dyDescent="0.2">
      <c r="C32" s="203" t="s">
        <v>144</v>
      </c>
      <c r="D32" s="216" t="s">
        <v>227</v>
      </c>
    </row>
    <row r="33" spans="3:4" ht="15.75" x14ac:dyDescent="0.25">
      <c r="C33" s="530" t="s">
        <v>583</v>
      </c>
      <c r="D33" s="486">
        <v>-26.777266741947585</v>
      </c>
    </row>
    <row r="34" spans="3:4" ht="15.75" x14ac:dyDescent="0.25">
      <c r="C34" s="531" t="s">
        <v>584</v>
      </c>
      <c r="D34" s="486">
        <v>-30.246786637780815</v>
      </c>
    </row>
    <row r="35" spans="3:4" ht="15.75" x14ac:dyDescent="0.25">
      <c r="C35" s="531" t="s">
        <v>571</v>
      </c>
      <c r="D35" s="486">
        <v>-31.861287575280812</v>
      </c>
    </row>
    <row r="36" spans="3:4" ht="15.75" x14ac:dyDescent="0.25">
      <c r="C36" s="531" t="s">
        <v>579</v>
      </c>
      <c r="D36" s="486">
        <v>-32.381634857302288</v>
      </c>
    </row>
    <row r="37" spans="3:4" ht="15.75" x14ac:dyDescent="0.25">
      <c r="C37" s="531" t="s">
        <v>572</v>
      </c>
      <c r="D37" s="486">
        <v>-35.330807471114134</v>
      </c>
    </row>
    <row r="38" spans="3:4" ht="15.75" x14ac:dyDescent="0.25">
      <c r="C38" s="531" t="s">
        <v>580</v>
      </c>
      <c r="D38" s="486">
        <v>-35.851154753135575</v>
      </c>
    </row>
    <row r="39" spans="3:4" ht="15.75" x14ac:dyDescent="0.25">
      <c r="C39" s="531" t="s">
        <v>567</v>
      </c>
      <c r="D39" s="486">
        <v>-37.465655690635572</v>
      </c>
    </row>
    <row r="40" spans="3:4" ht="15.75" x14ac:dyDescent="0.25">
      <c r="C40" s="531" t="s">
        <v>585</v>
      </c>
      <c r="D40" s="486">
        <v>-39.82449913778089</v>
      </c>
    </row>
    <row r="41" spans="3:4" ht="15.75" x14ac:dyDescent="0.25">
      <c r="C41" s="531" t="s">
        <v>568</v>
      </c>
      <c r="D41" s="486">
        <v>-40.935175586468894</v>
      </c>
    </row>
    <row r="42" spans="3:4" ht="15.75" x14ac:dyDescent="0.25">
      <c r="C42" s="531" t="s">
        <v>587</v>
      </c>
      <c r="D42" s="486">
        <v>-41.491311940635626</v>
      </c>
    </row>
    <row r="43" spans="3:4" ht="15.75" x14ac:dyDescent="0.25">
      <c r="C43" s="531" t="s">
        <v>573</v>
      </c>
      <c r="D43" s="486">
        <v>-44.908519971114153</v>
      </c>
    </row>
    <row r="44" spans="3:4" ht="15.75" x14ac:dyDescent="0.25">
      <c r="C44" s="531" t="s">
        <v>589</v>
      </c>
      <c r="D44" s="486">
        <v>-44.960831836468969</v>
      </c>
    </row>
    <row r="45" spans="3:4" ht="15.75" x14ac:dyDescent="0.25">
      <c r="C45" s="531" t="s">
        <v>589</v>
      </c>
      <c r="D45" s="486">
        <v>-42.147587454133259</v>
      </c>
    </row>
    <row r="46" spans="3:4" ht="15.75" x14ac:dyDescent="0.25">
      <c r="C46" s="531" t="s">
        <v>573</v>
      </c>
      <c r="D46" s="486">
        <v>-43.525285659200982</v>
      </c>
    </row>
    <row r="47" spans="3:4" ht="15.75" x14ac:dyDescent="0.25">
      <c r="C47" s="531" t="s">
        <v>569</v>
      </c>
      <c r="D47" s="486">
        <v>-45.01915495413315</v>
      </c>
    </row>
    <row r="48" spans="3:4" ht="15.75" x14ac:dyDescent="0.25">
      <c r="C48" s="531" t="s">
        <v>577</v>
      </c>
      <c r="D48" s="486">
        <v>-46.578149954133231</v>
      </c>
    </row>
    <row r="49" spans="3:4" ht="15.75" x14ac:dyDescent="0.25">
      <c r="C49" s="532"/>
      <c r="D49" s="486"/>
    </row>
    <row r="50" spans="3:4" ht="15.75" x14ac:dyDescent="0.25">
      <c r="C50" s="532"/>
      <c r="D50" s="486"/>
    </row>
    <row r="51" spans="3:4" ht="15.75" x14ac:dyDescent="0.25">
      <c r="C51" s="531"/>
      <c r="D51" s="486"/>
    </row>
    <row r="52" spans="3:4" ht="15.75" x14ac:dyDescent="0.25">
      <c r="C52" s="531"/>
      <c r="D52" s="486"/>
    </row>
    <row r="53" spans="3:4" ht="15.75" x14ac:dyDescent="0.25">
      <c r="C53" s="531"/>
      <c r="D53" s="486"/>
    </row>
    <row r="54" spans="3:4" ht="15.75" x14ac:dyDescent="0.25">
      <c r="C54" s="531"/>
      <c r="D54" s="486"/>
    </row>
    <row r="55" spans="3:4" ht="15.75" x14ac:dyDescent="0.25">
      <c r="C55" s="531"/>
      <c r="D55" s="486"/>
    </row>
    <row r="56" spans="3:4" ht="15.75" x14ac:dyDescent="0.25">
      <c r="C56" s="533"/>
      <c r="D56" s="486"/>
    </row>
  </sheetData>
  <sortState ref="C29:D46">
    <sortCondition descending="1" ref="D29:D46"/>
  </sortState>
  <phoneticPr fontId="7" type="noConversion"/>
  <printOptions horizontalCentered="1"/>
  <pageMargins left="0.25" right="0.25" top="0.75" bottom="0.75" header="0.3" footer="0.3"/>
  <pageSetup scale="62" orientation="landscape" r:id="rId1"/>
  <headerFooter alignWithMargins="0">
    <oddFooter>&amp;L&amp;A&amp;C&amp;F&amp;R&amp;D</oddFooter>
  </headerFooter>
  <rowBreaks count="1" manualBreakCount="1">
    <brk id="26"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B1" workbookViewId="0">
      <selection activeCell="K17" sqref="J6:K17"/>
    </sheetView>
  </sheetViews>
  <sheetFormatPr defaultRowHeight="12.75" x14ac:dyDescent="0.2"/>
  <cols>
    <col min="1" max="1" width="23.85546875" customWidth="1"/>
    <col min="2" max="2" width="20.7109375" customWidth="1"/>
    <col min="3" max="3" width="14.5703125" customWidth="1"/>
    <col min="4" max="4" width="10.7109375" customWidth="1"/>
    <col min="5" max="5" width="12.7109375" customWidth="1"/>
    <col min="6" max="6" width="14.5703125" customWidth="1"/>
    <col min="7" max="7" width="10.5703125" customWidth="1"/>
    <col min="10" max="10" width="29" customWidth="1"/>
    <col min="11" max="11" width="20.42578125" customWidth="1"/>
  </cols>
  <sheetData>
    <row r="1" spans="1:11" ht="15" x14ac:dyDescent="0.2">
      <c r="A1" s="517" t="s">
        <v>598</v>
      </c>
      <c r="B1" s="261"/>
      <c r="C1" s="261"/>
      <c r="D1" s="261"/>
      <c r="E1" s="261"/>
      <c r="F1" s="261"/>
      <c r="G1" s="261"/>
      <c r="H1" s="262"/>
    </row>
    <row r="2" spans="1:11" ht="15" x14ac:dyDescent="0.25">
      <c r="A2" s="518"/>
      <c r="B2" s="520"/>
      <c r="C2" s="520"/>
      <c r="D2" s="520"/>
      <c r="E2" s="521" t="s">
        <v>215</v>
      </c>
      <c r="F2" s="520"/>
      <c r="G2" s="520" t="s">
        <v>309</v>
      </c>
      <c r="H2" s="522"/>
    </row>
    <row r="3" spans="1:11" ht="15.75" x14ac:dyDescent="0.25">
      <c r="A3" s="519"/>
      <c r="B3" s="519" t="s">
        <v>220</v>
      </c>
      <c r="C3" s="521" t="s">
        <v>215</v>
      </c>
      <c r="D3" s="520" t="s">
        <v>216</v>
      </c>
      <c r="E3" s="521" t="s">
        <v>222</v>
      </c>
      <c r="F3" s="521" t="s">
        <v>218</v>
      </c>
      <c r="G3" s="521" t="s">
        <v>217</v>
      </c>
      <c r="H3" s="522"/>
      <c r="K3" s="250" t="s">
        <v>216</v>
      </c>
    </row>
    <row r="4" spans="1:11" ht="15.75" x14ac:dyDescent="0.25">
      <c r="A4" s="519"/>
      <c r="B4" s="519" t="s">
        <v>225</v>
      </c>
      <c r="C4" s="521" t="s">
        <v>310</v>
      </c>
      <c r="D4" s="520" t="s">
        <v>221</v>
      </c>
      <c r="E4" s="521" t="s">
        <v>10</v>
      </c>
      <c r="F4" s="521" t="s">
        <v>223</v>
      </c>
      <c r="G4" s="521" t="s">
        <v>158</v>
      </c>
      <c r="H4" s="522"/>
      <c r="K4" s="250" t="s">
        <v>221</v>
      </c>
    </row>
    <row r="5" spans="1:11" ht="15.75" x14ac:dyDescent="0.25">
      <c r="A5" s="523" t="s">
        <v>144</v>
      </c>
      <c r="B5" s="524" t="s">
        <v>227</v>
      </c>
      <c r="C5" s="524" t="s">
        <v>227</v>
      </c>
      <c r="D5" s="525" t="s">
        <v>227</v>
      </c>
      <c r="E5" s="524" t="s">
        <v>227</v>
      </c>
      <c r="F5" s="524" t="s">
        <v>227</v>
      </c>
      <c r="G5" s="524" t="s">
        <v>227</v>
      </c>
      <c r="H5" s="523"/>
      <c r="J5" s="269" t="s">
        <v>505</v>
      </c>
      <c r="K5" s="273" t="s">
        <v>227</v>
      </c>
    </row>
    <row r="6" spans="1:11" ht="15.75" x14ac:dyDescent="0.25">
      <c r="A6" s="526" t="s">
        <v>567</v>
      </c>
      <c r="B6" s="528">
        <f>AVERAGE(Summary!$F$15,Summary!$F$17,Summary!$F$20)</f>
        <v>234.06000000000003</v>
      </c>
      <c r="C6" s="528">
        <f>AVERAGE(Summary!$G$15,Summary!$G$17,Summary!$G$20)</f>
        <v>319.19232235730226</v>
      </c>
      <c r="D6" s="528">
        <f>AVERAGE(Summary!$H$15,Summary!$H$17,Summary!$H$20)</f>
        <v>-85.132322357302243</v>
      </c>
      <c r="E6" s="528">
        <f>AVERAGE(Summary!$I$15,Summary!$I$17,Summary!$I$20)</f>
        <v>230.52998902396894</v>
      </c>
      <c r="F6" s="528">
        <f>AVERAGE(Summary!$J$15,Summary!$J$17,Summary!$J$20)</f>
        <v>3.5300109760310932</v>
      </c>
      <c r="G6" s="528">
        <f>AVERAGE(Summary!$K$15,Summary!$K$17,Summary!$K$20)</f>
        <v>36</v>
      </c>
      <c r="H6" s="527"/>
      <c r="J6" s="537" t="s">
        <v>583</v>
      </c>
      <c r="K6" s="486">
        <v>-26.777266741947585</v>
      </c>
    </row>
    <row r="7" spans="1:11" ht="15.75" x14ac:dyDescent="0.25">
      <c r="A7" s="522" t="s">
        <v>568</v>
      </c>
      <c r="B7" s="528">
        <f>AVERAGE(Summary!$F$15,Summary!$F$17,Summary!$F$23)</f>
        <v>294.06</v>
      </c>
      <c r="C7" s="528">
        <f>AVERAGE(Summary!$G$15,Summary!$G$17,Summary!$G$23)</f>
        <v>334.99517558646892</v>
      </c>
      <c r="D7" s="528">
        <f>AVERAGE(Summary!H15,Summary!H17,Summary!H23)</f>
        <v>-40.935175586468894</v>
      </c>
      <c r="E7" s="528">
        <f>AVERAGE(Summary!$I$15,Summary!$I$17,Summary!$I$23)</f>
        <v>227.59950891980225</v>
      </c>
      <c r="F7" s="528">
        <f>AVERAGE(Summary!J15,Summary!J17,Summary!J23)</f>
        <v>66.46049108019777</v>
      </c>
      <c r="G7" s="528">
        <f>AVERAGE(Summary!$K$15,Summary!$K$17,Summary!$K$23)</f>
        <v>51.666666666666664</v>
      </c>
      <c r="H7" s="522"/>
      <c r="J7" s="538" t="s">
        <v>584</v>
      </c>
      <c r="K7" s="486">
        <v>-30.246786637780815</v>
      </c>
    </row>
    <row r="8" spans="1:11" ht="15.75" x14ac:dyDescent="0.25">
      <c r="A8" s="526" t="s">
        <v>569</v>
      </c>
      <c r="B8" s="528">
        <f>AVERAGE(Summary!$F$15,Summary!$F$17,Summary!$F$22)</f>
        <v>276.90333333333336</v>
      </c>
      <c r="C8" s="528">
        <f>AVERAGE(Summary!$G$15,Summary!$G$17,Summary!$G$22)</f>
        <v>327.4162214198023</v>
      </c>
      <c r="D8" s="528">
        <f>AVERAGE(Summary!$H$15,Summary!$H$17,Summary!$H$22)</f>
        <v>-50.512888086468912</v>
      </c>
      <c r="E8" s="528">
        <f>AVERAGE(Summary!$I$15,Summary!$I$17,Summary!$I$22)</f>
        <v>207.83722141980229</v>
      </c>
      <c r="F8" s="528">
        <f>AVERAGE(Summary!$J$15,Summary!$J$17,Summary!$J$22)</f>
        <v>69.066111913531088</v>
      </c>
      <c r="G8" s="528">
        <f>AVERAGE(Summary!$K$15,Summary!$K$17,Summary!$K$22)</f>
        <v>47.666666666666664</v>
      </c>
      <c r="H8" s="522"/>
      <c r="J8" s="538" t="s">
        <v>571</v>
      </c>
      <c r="K8" s="486">
        <v>-31.861287575280812</v>
      </c>
    </row>
    <row r="9" spans="1:11" ht="15.75" x14ac:dyDescent="0.25">
      <c r="A9" s="522" t="s">
        <v>570</v>
      </c>
      <c r="B9" s="528">
        <f>AVERAGE(Summary!$F$15,Summary!$F$17,Summary!$F$24)</f>
        <v>246.06000000000003</v>
      </c>
      <c r="C9" s="528">
        <f>AVERAGE(Summary!$G$15,Summary!$G$17,Summary!$G$24)</f>
        <v>328.59628868509765</v>
      </c>
      <c r="D9" s="528">
        <f>AVERAGE(Summary!H15,Summary!H17,Summary!H24)</f>
        <v>-82.536288685097631</v>
      </c>
      <c r="E9" s="528">
        <f>AVERAGE(Summary!$I$15,Summary!$I$17,Summary!$I$24)</f>
        <v>236.17062201843098</v>
      </c>
      <c r="F9" s="528">
        <f>AVERAGE(Summary!J15,Summary!J17,Summary!J24)</f>
        <v>9.8893779815690461</v>
      </c>
      <c r="G9" s="528">
        <f>AVERAGE(Summary!$K$15,Summary!$K$17,Summary!$K$24)</f>
        <v>38.666666666666664</v>
      </c>
      <c r="H9" s="522"/>
      <c r="J9" s="538" t="s">
        <v>579</v>
      </c>
      <c r="K9" s="486">
        <v>-32.381634857302288</v>
      </c>
    </row>
    <row r="10" spans="1:11" ht="15.75" x14ac:dyDescent="0.25">
      <c r="A10" s="526" t="s">
        <v>571</v>
      </c>
      <c r="B10" s="528">
        <f>AVERAGE(Summary!$F$15,Summary!$F$18,Summary!$F$20)</f>
        <v>255.51999999999998</v>
      </c>
      <c r="C10" s="528">
        <f>AVERAGE(Summary!$G$15,Summary!$G$18,Summary!$G$20)</f>
        <v>335.04795424194748</v>
      </c>
      <c r="D10" s="528">
        <f>AVERAGE(Summary!$H$15,Summary!$H$18,Summary!$H$20)</f>
        <v>-79.527954241947484</v>
      </c>
      <c r="E10" s="528">
        <f>AVERAGE(Summary!$I$15,Summary!$I$18,Summary!$I$20)</f>
        <v>242.05228757528076</v>
      </c>
      <c r="F10" s="528">
        <f>AVERAGE(Summary!$J$15,Summary!$J$18,Summary!$J$20)</f>
        <v>13.467712424719195</v>
      </c>
      <c r="G10" s="528">
        <f>AVERAGE(Summary!$K$15,Summary!$K$18,Summary!$K$20)</f>
        <v>40.333333333333336</v>
      </c>
      <c r="H10" s="522"/>
      <c r="J10" s="538" t="s">
        <v>572</v>
      </c>
      <c r="K10" s="486">
        <v>-35.330807471114134</v>
      </c>
    </row>
    <row r="11" spans="1:11" ht="15.75" x14ac:dyDescent="0.25">
      <c r="A11" s="522" t="s">
        <v>572</v>
      </c>
      <c r="B11" s="528">
        <f>AVERAGE(Summary!$F$15,Summary!$F$18,Summary!$F$23)</f>
        <v>315.52</v>
      </c>
      <c r="C11" s="528">
        <f>AVERAGE(Summary!$G$15,Summary!$G$18,Summary!$G$23)</f>
        <v>350.85080747111414</v>
      </c>
      <c r="D11" s="528">
        <f>AVERAGE(Summary!$H$15,Summary!$H$18,Summary!$H$23)</f>
        <v>-35.330807471114134</v>
      </c>
      <c r="E11" s="528">
        <f>AVERAGE(Summary!$I$15,Summary!$I$18,Summary!$I$23)</f>
        <v>239.12180747111412</v>
      </c>
      <c r="F11" s="528">
        <f>AVERAGE(Summary!$J$15,Summary!$J$18,Summary!$J$23)</f>
        <v>76.398192528885872</v>
      </c>
      <c r="G11" s="528">
        <f>AVERAGE(Summary!$K$15,Summary!$K$18,Summary!$K$23)</f>
        <v>56</v>
      </c>
      <c r="H11" s="522"/>
      <c r="J11" s="538" t="s">
        <v>580</v>
      </c>
      <c r="K11" s="486">
        <v>-35.851154753135575</v>
      </c>
    </row>
    <row r="12" spans="1:11" ht="15.75" x14ac:dyDescent="0.25">
      <c r="A12" s="526" t="s">
        <v>573</v>
      </c>
      <c r="B12" s="528">
        <f>AVERAGE(Summary!$F$15,Summary!$F$18,Summary!$F$22)</f>
        <v>298.36333333333329</v>
      </c>
      <c r="C12" s="528">
        <f>AVERAGE(Summary!$G$15,Summary!$G$18,Summary!$G$22)</f>
        <v>343.27185330444746</v>
      </c>
      <c r="D12" s="528">
        <f>AVERAGE(Summary!$H$15,Summary!$H$18,Summary!$H$22)</f>
        <v>-44.908519971114153</v>
      </c>
      <c r="E12" s="528">
        <f>AVERAGE(Summary!$I$15,Summary!$I$18,Summary!$I$22)</f>
        <v>219.35951997111411</v>
      </c>
      <c r="F12" s="528">
        <f>AVERAGE(Summary!J15,Summary!J18,Summary!J22)</f>
        <v>79.003813362219191</v>
      </c>
      <c r="G12" s="528">
        <f>AVERAGE(Summary!$K$15,Summary!$K$18,Summary!$K$22)</f>
        <v>52</v>
      </c>
      <c r="H12" s="522"/>
      <c r="J12" s="538" t="s">
        <v>567</v>
      </c>
      <c r="K12" s="486">
        <v>-37.465655690635572</v>
      </c>
    </row>
    <row r="13" spans="1:11" ht="15.75" x14ac:dyDescent="0.25">
      <c r="A13" s="522" t="s">
        <v>574</v>
      </c>
      <c r="B13" s="528">
        <f>AVERAGE(Summary!$F$15,Summary!$F$18,Summary!$F$24)</f>
        <v>267.52</v>
      </c>
      <c r="C13" s="528">
        <f>AVERAGE(Summary!$G$15,Summary!$G$18,Summary!$G$24)</f>
        <v>344.45192056974292</v>
      </c>
      <c r="D13" s="528">
        <f>AVERAGE(Summary!H15,Summary!H18,Summary!H24)</f>
        <v>-76.931920569742871</v>
      </c>
      <c r="E13" s="528">
        <f>AVERAGE(Summary!$I$15,Summary!$I$18,Summary!$I$24)</f>
        <v>247.69292056974282</v>
      </c>
      <c r="F13" s="528">
        <f>AVERAGE(Summary!$J$15,Summary!$J$18,Summary!$J$24)</f>
        <v>19.827079430257147</v>
      </c>
      <c r="G13" s="528">
        <f>AVERAGE(Summary!$K$15,Summary!$K$18,Summary!$K$24)</f>
        <v>43</v>
      </c>
      <c r="H13" s="522"/>
      <c r="J13" s="538" t="s">
        <v>585</v>
      </c>
      <c r="K13" s="486">
        <v>-39.82449913778089</v>
      </c>
    </row>
    <row r="14" spans="1:11" ht="15.75" x14ac:dyDescent="0.25">
      <c r="A14" s="526" t="s">
        <v>575</v>
      </c>
      <c r="B14" s="528">
        <f>AVERAGE(Summary!$F$15,Summary!$F$19,Summary!$F$20)</f>
        <v>210.26666666666665</v>
      </c>
      <c r="C14" s="528">
        <f>AVERAGE(Summary!$G$15,Summary!$G$19,Summary!$G$20)</f>
        <v>304.50866610730225</v>
      </c>
      <c r="D14" s="528">
        <f>AVERAGE(Summary!$H$15,Summary!$H$19,Summary!$H$20)</f>
        <v>-94.241999440635581</v>
      </c>
      <c r="E14" s="528">
        <f>AVERAGE(Summary!$I$15,Summary!$I$19,Summary!$I$20)</f>
        <v>223.51299944063558</v>
      </c>
      <c r="F14" s="528">
        <f>AVERAGE(Summary!$J$15,Summary!$J$19,Summary!$J$20)</f>
        <v>-13.246332773968902</v>
      </c>
      <c r="G14" s="528">
        <f>AVERAGE(Summary!$K$15,Summary!$K$19,Summary!$K$20)</f>
        <v>31</v>
      </c>
      <c r="H14" s="522"/>
      <c r="J14" s="538" t="s">
        <v>568</v>
      </c>
      <c r="K14" s="486">
        <v>-40.935175586468894</v>
      </c>
    </row>
    <row r="15" spans="1:11" ht="15.75" x14ac:dyDescent="0.25">
      <c r="A15" s="526" t="s">
        <v>576</v>
      </c>
      <c r="B15" s="528">
        <f>AVERAGE(Summary!$F$15,Summary!$F$19,Summary!$F$22)</f>
        <v>253.11</v>
      </c>
      <c r="C15" s="528">
        <f>AVERAGE(Summary!$G$15,Summary!$G$19,Summary!$G$22)</f>
        <v>312.73256516980229</v>
      </c>
      <c r="D15" s="528">
        <f>AVERAGE(Summary!H15,Summary!$H$19,Summary!H22)</f>
        <v>-59.62256516980225</v>
      </c>
      <c r="E15" s="528">
        <f>AVERAGE(Summary!$I$15,Summary!$I$19,Summary!$I$22)</f>
        <v>200.82023183646893</v>
      </c>
      <c r="F15" s="528">
        <f>AVERAGE(Summary!J15,Summary!$J$19,Summary!J22)</f>
        <v>52.289768163531086</v>
      </c>
      <c r="G15" s="528">
        <f>AVERAGE(Summary!$K$15,Summary!$K$19,Summary!$K$22)</f>
        <v>42.666666666666664</v>
      </c>
      <c r="H15" s="522"/>
      <c r="J15" s="538" t="s">
        <v>587</v>
      </c>
      <c r="K15" s="486">
        <v>-41.491311940635626</v>
      </c>
    </row>
    <row r="16" spans="1:11" ht="15.75" x14ac:dyDescent="0.25">
      <c r="A16" s="526" t="s">
        <v>577</v>
      </c>
      <c r="B16" s="528">
        <f>AVERAGE(Summary!F15,Summary!$F$19,Summary!F23)</f>
        <v>270.26666666666665</v>
      </c>
      <c r="C16" s="528">
        <f>AVERAGE(Summary!$G$15,Summary!$G$19,Summary!$G$23)</f>
        <v>320.3115193364689</v>
      </c>
      <c r="D16" s="528">
        <f>AVERAGE(Summary!$H$15,Summary!$H$19,Summary!$H$23)</f>
        <v>-50.044852669802232</v>
      </c>
      <c r="E16" s="528">
        <f>AVERAGE(Summary!$I$15,Summary!$I$19,Summary!$I$23)</f>
        <v>220.58251933646889</v>
      </c>
      <c r="F16" s="528">
        <f>AVERAGE(Summary!$J$15,Summary!$J$19,Summary!$J$23)</f>
        <v>49.684147330197781</v>
      </c>
      <c r="G16" s="528">
        <f>AVERAGE(Summary!$K$15,Summary!$K$19,Summary!$K$23)</f>
        <v>46.666666666666664</v>
      </c>
      <c r="H16" s="522"/>
      <c r="J16" s="538" t="s">
        <v>573</v>
      </c>
      <c r="K16" s="486">
        <v>-44.908519971114153</v>
      </c>
    </row>
    <row r="17" spans="1:11" ht="15.75" x14ac:dyDescent="0.25">
      <c r="A17" s="522" t="s">
        <v>578</v>
      </c>
      <c r="B17" s="520">
        <f>AVERAGE(Summary!$F$15,Summary!$F$19,Summary!$F$24)</f>
        <v>222.26666666666665</v>
      </c>
      <c r="C17" s="520">
        <f>AVERAGE(Summary!$G$15,Summary!$G$19,Summary!$G$24)</f>
        <v>313.91263243509763</v>
      </c>
      <c r="D17" s="520">
        <f>AVERAGE(Summary!$H$15,Summary!$H$19,Summary!$H$24)</f>
        <v>-91.645965768430969</v>
      </c>
      <c r="E17" s="520">
        <f>AVERAGE(Summary!$I$15,Summary!$I$19,Summary!$I$24)</f>
        <v>229.15363243509762</v>
      </c>
      <c r="F17" s="520">
        <f>AVERAGE(Summary!$J$15,Summary!$J$19,Summary!$J$24)</f>
        <v>-6.88696576843095</v>
      </c>
      <c r="G17" s="520">
        <f>AVERAGE(Summary!$K$15,Summary!$K$19,Summary!$K$24)</f>
        <v>33.666666666666664</v>
      </c>
      <c r="H17" s="522"/>
      <c r="J17" s="538" t="s">
        <v>589</v>
      </c>
      <c r="K17" s="486">
        <v>-44.960831836468969</v>
      </c>
    </row>
    <row r="18" spans="1:11" ht="15.75" x14ac:dyDescent="0.25">
      <c r="A18" s="526" t="s">
        <v>579</v>
      </c>
      <c r="B18" s="528">
        <f>AVERAGE(Summary!$F$16,Summary!$F$17,Summary!$F$20)</f>
        <v>252.79333333333332</v>
      </c>
      <c r="C18" s="528">
        <f>AVERAGE(Summary!$G$16,Summary!$G$17,Summary!$G$20)</f>
        <v>332.84163485730227</v>
      </c>
      <c r="D18" s="520">
        <f>Table160[[#This Row],[Column5]]-Table160[[#This Row],[Column6]]</f>
        <v>-80.048301523968945</v>
      </c>
      <c r="E18" s="528">
        <f>AVERAGE(Summary!$I$16,Summary!$I$17,Summary!$I$20)</f>
        <v>246.17930152396897</v>
      </c>
      <c r="F18" s="520">
        <f>Table160[[#This Row],[Column5]]-Table160[[#This Row],[Column8]]</f>
        <v>6.6140318093643486</v>
      </c>
      <c r="G18" s="528">
        <f>AVERAGE(Summary!$K$16,Summary!$K$17,Summary!$K$20)</f>
        <v>33.666666666666664</v>
      </c>
      <c r="H18" s="522"/>
      <c r="J18" s="538" t="s">
        <v>581</v>
      </c>
      <c r="K18" s="486">
        <v>-45.428867253135593</v>
      </c>
    </row>
    <row r="19" spans="1:11" ht="15.75" x14ac:dyDescent="0.25">
      <c r="A19" s="522" t="s">
        <v>580</v>
      </c>
      <c r="B19" s="528">
        <f>AVERAGE(Summary!$F$16,Summary!$F$17,Summary!$F$23)</f>
        <v>312.79333333333335</v>
      </c>
      <c r="C19" s="528">
        <f>AVERAGE(Summary!$G$16,Summary!$G$17,Summary!$G$23)</f>
        <v>348.64448808646893</v>
      </c>
      <c r="D19" s="520">
        <f>Table160[[#This Row],[Column5]]-Table160[[#This Row],[Column6]]</f>
        <v>-35.851154753135575</v>
      </c>
      <c r="E19" s="528">
        <f>AVERAGE(Summary!$I$16,Summary!$I$17,Summary!$I$23)</f>
        <v>243.24882141980231</v>
      </c>
      <c r="F19" s="520">
        <f>Table160[[#This Row],[Column5]]-Table160[[#This Row],[Column8]]</f>
        <v>69.544511913531039</v>
      </c>
      <c r="G19" s="528">
        <f>AVERAGE(Summary!$K$16,Summary!$K$17,Summary!$K$23)</f>
        <v>49.333333333333336</v>
      </c>
      <c r="H19" s="522"/>
      <c r="J19" s="538" t="s">
        <v>575</v>
      </c>
      <c r="K19" s="486">
        <v>-46.57533277396891</v>
      </c>
    </row>
    <row r="20" spans="1:11" ht="15.75" x14ac:dyDescent="0.25">
      <c r="A20" s="526" t="s">
        <v>581</v>
      </c>
      <c r="B20" s="528">
        <f>AVERAGE(Summary!$F$16,Summary!$F$17,Summary!$F$22)</f>
        <v>295.63666666666671</v>
      </c>
      <c r="C20" s="528">
        <f>AVERAGE(Summary!$G$16,Summary!$G$17,Summary!$G$22)</f>
        <v>341.06553391980231</v>
      </c>
      <c r="D20" s="520">
        <f>Table160[[#This Row],[Column5]]-Table160[[#This Row],[Column6]]</f>
        <v>-45.428867253135593</v>
      </c>
      <c r="E20" s="528">
        <f>AVERAGE(Summary!$I$16,Summary!$I$17,Summary!$I$22)</f>
        <v>223.48653391980233</v>
      </c>
      <c r="F20" s="520">
        <f>Table160[[#This Row],[Column5]]-Table160[[#This Row],[Column8]]</f>
        <v>72.150132746864386</v>
      </c>
      <c r="G20" s="528">
        <f>AVERAGE(Summary!$K$16,Summary!$K$17,Summary!$K$22)</f>
        <v>45.333333333333336</v>
      </c>
      <c r="H20" s="522"/>
      <c r="J20" s="538" t="s">
        <v>577</v>
      </c>
      <c r="K20" s="486">
        <v>-50.044852669802232</v>
      </c>
    </row>
    <row r="21" spans="1:11" ht="15.75" x14ac:dyDescent="0.25">
      <c r="A21" s="522" t="s">
        <v>582</v>
      </c>
      <c r="B21" s="528">
        <f>AVERAGE(Summary!$F$16,Summary!$F$17,Summary!$F$24)</f>
        <v>264.79333333333335</v>
      </c>
      <c r="C21" s="528">
        <f>AVERAGE(Summary!$G$16,Summary!$G$17,Summary!$G$24)</f>
        <v>342.24560118509771</v>
      </c>
      <c r="D21" s="520">
        <f>Table160[[#This Row],[Column5]]-Table160[[#This Row],[Column6]]</f>
        <v>-77.452267851764361</v>
      </c>
      <c r="E21" s="528">
        <f>AVERAGE(Summary!$I$16,Summary!$I$17,Summary!$I$24)</f>
        <v>251.81993451843104</v>
      </c>
      <c r="F21" s="520">
        <f>Table160[[#This Row],[Column5]]-Table160[[#This Row],[Column8]]</f>
        <v>12.973398814902311</v>
      </c>
      <c r="G21" s="528">
        <f>AVERAGE(Summary!$K$16,Summary!$K$17,Summary!$K$24)</f>
        <v>36.333333333333336</v>
      </c>
      <c r="H21" s="522"/>
      <c r="J21" s="538" t="s">
        <v>569</v>
      </c>
      <c r="K21" s="486">
        <v>-50.512888086468912</v>
      </c>
    </row>
    <row r="22" spans="1:11" ht="15.75" x14ac:dyDescent="0.25">
      <c r="A22" s="526" t="s">
        <v>583</v>
      </c>
      <c r="B22" s="528">
        <f>AVERAGE(Summary!$F$16,Summary!$F$18,Summary!$F$20)</f>
        <v>274.25333333333333</v>
      </c>
      <c r="C22" s="528">
        <f>AVERAGE(Summary!$G$16,Summary!$G$18,Summary!$G$20)</f>
        <v>348.69726674194754</v>
      </c>
      <c r="D22" s="520">
        <f>Table160[[#This Row],[Column5]]-Table160[[#This Row],[Column6]]</f>
        <v>-74.443933408614214</v>
      </c>
      <c r="E22" s="528">
        <f>AVERAGE(Summary!$I$16,Summary!$I$18,Summary!$I$20)</f>
        <v>257.70160007528085</v>
      </c>
      <c r="F22" s="520">
        <f>Table160[[#This Row],[Column5]]-Table160[[#This Row],[Column8]]</f>
        <v>16.551733258052479</v>
      </c>
      <c r="G22" s="528">
        <f>AVERAGE(Summary!$K$16,Summary!$K$18,Summary!$K$20)</f>
        <v>38</v>
      </c>
      <c r="H22" s="522"/>
      <c r="J22" s="539" t="s">
        <v>588</v>
      </c>
      <c r="K22" s="486">
        <v>-54.538544336469045</v>
      </c>
    </row>
    <row r="23" spans="1:11" ht="15.75" x14ac:dyDescent="0.25">
      <c r="A23" s="522" t="s">
        <v>584</v>
      </c>
      <c r="B23" s="528">
        <f>AVERAGE(Summary!$F$16,Summary!$F$18,Summary!$F$23)</f>
        <v>334.25333333333333</v>
      </c>
      <c r="C23" s="528">
        <f>AVERAGE(Summary!$G$16,Summary!$G$18,Summary!$G$23)</f>
        <v>364.50011997111415</v>
      </c>
      <c r="D23" s="520">
        <f>Table160[[#This Row],[Column5]]-Table160[[#This Row],[Column6]]</f>
        <v>-30.246786637780815</v>
      </c>
      <c r="E23" s="528">
        <f>AVERAGE(Summary!$I$16,Summary!$I$18,Summary!$I$23)</f>
        <v>254.77111997111422</v>
      </c>
      <c r="F23" s="520">
        <f>Table160[[#This Row],[Column5]]-Table160[[#This Row],[Column8]]</f>
        <v>79.482213362219113</v>
      </c>
      <c r="G23" s="528">
        <f>AVERAGE(Summary!$K$16,Summary!$K$18,Summary!$K$23)</f>
        <v>53.666666666666664</v>
      </c>
      <c r="H23" s="522"/>
      <c r="J23" s="539" t="s">
        <v>576</v>
      </c>
      <c r="K23" s="486">
        <v>-59.62256516980225</v>
      </c>
    </row>
    <row r="24" spans="1:11" ht="15.75" x14ac:dyDescent="0.25">
      <c r="A24" s="526" t="s">
        <v>585</v>
      </c>
      <c r="B24" s="528">
        <f>AVERAGE(Summary!$F$16,Summary!$F$18,Summary!$F$22)</f>
        <v>317.09666666666664</v>
      </c>
      <c r="C24" s="528">
        <f>AVERAGE(Summary!$G$16,Summary!$G$18,Summary!$G$22)</f>
        <v>356.92116580444753</v>
      </c>
      <c r="D24" s="520">
        <f>Table160[[#This Row],[Column5]]-Table160[[#This Row],[Column6]]</f>
        <v>-39.82449913778089</v>
      </c>
      <c r="E24" s="528">
        <f>AVERAGE(Summary!$I$16,Summary!$I$18,Summary!$I$22)</f>
        <v>235.00883247111423</v>
      </c>
      <c r="F24" s="520">
        <f>Table160[[#This Row],[Column5]]-Table160[[#This Row],[Column8]]</f>
        <v>82.087834195552404</v>
      </c>
      <c r="G24" s="528">
        <f>AVERAGE(Summary!$K$16,Summary!$K$18,Summary!$K$22)</f>
        <v>49.666666666666664</v>
      </c>
      <c r="H24" s="522"/>
      <c r="J24" s="538" t="s">
        <v>574</v>
      </c>
      <c r="K24" s="486">
        <v>-76.931920569742871</v>
      </c>
    </row>
    <row r="25" spans="1:11" ht="15.75" x14ac:dyDescent="0.25">
      <c r="A25" s="522" t="s">
        <v>586</v>
      </c>
      <c r="B25" s="528">
        <f>AVERAGE(Summary!$F$15,Summary!$F$18,Summary!$F$24)</f>
        <v>267.52</v>
      </c>
      <c r="C25" s="528">
        <f>AVERAGE(Summary!$G$16,Summary!$G$18,Summary!$G$24)</f>
        <v>358.10123306974293</v>
      </c>
      <c r="D25" s="520">
        <f>Table160[[#This Row],[Column5]]-Table160[[#This Row],[Column6]]</f>
        <v>-90.58123306974295</v>
      </c>
      <c r="E25" s="528">
        <f>AVERAGE(Summary!$I$16,Summary!$I$18,Summary!$I$24)</f>
        <v>263.34223306974292</v>
      </c>
      <c r="F25" s="520">
        <f>Table160[[#This Row],[Column5]]-Table160[[#This Row],[Column8]]</f>
        <v>4.1777669302570644</v>
      </c>
      <c r="G25" s="528">
        <f>AVERAGE(Summary!$K$16,Summary!$K$18,Summary!$K$24)</f>
        <v>40.666666666666664</v>
      </c>
      <c r="H25" s="522"/>
      <c r="J25" s="538" t="s">
        <v>582</v>
      </c>
      <c r="K25" s="486">
        <v>-77.452267851764361</v>
      </c>
    </row>
    <row r="26" spans="1:11" ht="15.75" x14ac:dyDescent="0.25">
      <c r="A26" s="526" t="s">
        <v>587</v>
      </c>
      <c r="B26" s="528">
        <f>AVERAGE(Summary!$F$16,Summary!$F$19,Summary!$F$20)</f>
        <v>229</v>
      </c>
      <c r="C26" s="528">
        <f>AVERAGE(Summary!$G$16,Summary!$G$19,Summary!$G$20)</f>
        <v>318.15797860730231</v>
      </c>
      <c r="D26" s="520">
        <f>Table160[[#This Row],[Column5]]-Table160[[#This Row],[Column6]]</f>
        <v>-89.157978607302312</v>
      </c>
      <c r="E26" s="528">
        <f>AVERAGE(Summary!$I$16,Summary!$I$19,Summary!$I$20)</f>
        <v>239.16231194063565</v>
      </c>
      <c r="F26" s="520">
        <f>Table160[[#This Row],[Column5]]-Table160[[#This Row],[Column8]]</f>
        <v>-10.162311940635647</v>
      </c>
      <c r="G26" s="528">
        <f>AVERAGE(Summary!$K$16,Summary!$K$19,Summary!$K$20)</f>
        <v>28.666666666666668</v>
      </c>
      <c r="H26" s="522"/>
      <c r="J26" s="538" t="s">
        <v>570</v>
      </c>
      <c r="K26" s="486">
        <v>-82.536288685097631</v>
      </c>
    </row>
    <row r="27" spans="1:11" ht="15.75" x14ac:dyDescent="0.25">
      <c r="A27" s="526" t="s">
        <v>588</v>
      </c>
      <c r="B27" s="528">
        <f>AVERAGE(Summary!$F$16,Summary!$F$19,Summary!$F$22)</f>
        <v>271.84333333333331</v>
      </c>
      <c r="C27" s="528">
        <f>AVERAGE(Summary!$G$16,Summary!$G$19,Summary!$G$22)</f>
        <v>326.38187766980235</v>
      </c>
      <c r="D27" s="520">
        <f>Table160[[#This Row],[Column5]]-Table160[[#This Row],[Column6]]</f>
        <v>-54.538544336469045</v>
      </c>
      <c r="E27" s="528">
        <f>AVERAGE(Summary!$I$16,Summary!$I$19,Summary!$I$22)</f>
        <v>216.469544336469</v>
      </c>
      <c r="F27" s="520">
        <f>Table160[[#This Row],[Column5]]-Table160[[#This Row],[Column8]]</f>
        <v>55.373788996864306</v>
      </c>
      <c r="G27" s="528">
        <f>AVERAGE(Summary!$K$16,Summary!$K$19,Summary!$K$22)</f>
        <v>40.333333333333336</v>
      </c>
      <c r="H27" s="522"/>
      <c r="J27" s="538" t="s">
        <v>590</v>
      </c>
      <c r="K27" s="486">
        <v>-86.561944935097699</v>
      </c>
    </row>
    <row r="28" spans="1:11" ht="15.75" x14ac:dyDescent="0.25">
      <c r="A28" s="526" t="s">
        <v>589</v>
      </c>
      <c r="B28" s="520">
        <f>AVERAGE(Summary!$F$16,Summary!$F$19,Summary!$F$23)</f>
        <v>289</v>
      </c>
      <c r="C28" s="528">
        <f>AVERAGE(Summary!$G$16,Summary!$G$19,Summary!$G$23)</f>
        <v>333.96083183646897</v>
      </c>
      <c r="D28" s="520">
        <f>Table160[[#This Row],[Column5]]-Table160[[#This Row],[Column6]]</f>
        <v>-44.960831836468969</v>
      </c>
      <c r="E28" s="528">
        <f>AVERAGE(Summary!$I$16,Summary!$I$19,Summary!$I$23)</f>
        <v>236.23183183646896</v>
      </c>
      <c r="F28" s="520">
        <f>Table160[[#This Row],[Column5]]-Table160[[#This Row],[Column8]]</f>
        <v>52.768168163531044</v>
      </c>
      <c r="G28" s="528">
        <f>AVERAGE(Summary!$K$16,Summary!$K$19,Summary!$K$23)</f>
        <v>44.333333333333336</v>
      </c>
      <c r="H28" s="522"/>
      <c r="J28" s="538" t="s">
        <v>586</v>
      </c>
      <c r="K28" s="486">
        <v>-90.58123306974295</v>
      </c>
    </row>
    <row r="29" spans="1:11" ht="15.75" x14ac:dyDescent="0.25">
      <c r="A29" s="522" t="s">
        <v>590</v>
      </c>
      <c r="B29" s="520">
        <f>AVERAGE(Summary!$F$16,Summary!$F$19,Summary!$F$24)</f>
        <v>241</v>
      </c>
      <c r="C29" s="520">
        <f>AVERAGE(Summary!$G$16,Summary!$G$19,Summary!$G$24)</f>
        <v>327.5619449350977</v>
      </c>
      <c r="D29" s="520">
        <f>Table160[[#This Row],[Column5]]-Table160[[#This Row],[Column6]]</f>
        <v>-86.561944935097699</v>
      </c>
      <c r="E29" s="520">
        <f>AVERAGE(Summary!$I$16,Summary!$I$19,Summary!$I$24)</f>
        <v>244.80294493509768</v>
      </c>
      <c r="F29" s="520">
        <f>Table160[[#This Row],[Column5]]-Table160[[#This Row],[Column8]]</f>
        <v>-3.8029449350976847</v>
      </c>
      <c r="G29" s="520">
        <f>AVERAGE(Summary!$K$16,Summary!$K$19,Summary!$K$24)</f>
        <v>31.333333333333332</v>
      </c>
      <c r="H29" s="522"/>
      <c r="J29" s="540" t="s">
        <v>578</v>
      </c>
      <c r="K29" s="486">
        <v>-91.645965768430969</v>
      </c>
    </row>
    <row r="30" spans="1:11" x14ac:dyDescent="0.2">
      <c r="J30" s="478" t="s">
        <v>509</v>
      </c>
      <c r="K30" s="479">
        <f>MAX(J6:K17)</f>
        <v>-26.777266741947585</v>
      </c>
    </row>
    <row r="31" spans="1:11" ht="15.75" x14ac:dyDescent="0.25">
      <c r="A31" s="264"/>
      <c r="B31" s="248" t="s">
        <v>220</v>
      </c>
      <c r="C31" s="247" t="s">
        <v>215</v>
      </c>
      <c r="D31" s="250" t="s">
        <v>216</v>
      </c>
      <c r="E31" s="247" t="s">
        <v>222</v>
      </c>
      <c r="F31" s="251" t="s">
        <v>218</v>
      </c>
      <c r="G31" s="247" t="s">
        <v>217</v>
      </c>
      <c r="H31" s="246"/>
    </row>
    <row r="32" spans="1:11" ht="15.75" x14ac:dyDescent="0.25">
      <c r="A32" s="264"/>
      <c r="B32" s="248" t="s">
        <v>225</v>
      </c>
      <c r="C32" s="247" t="s">
        <v>310</v>
      </c>
      <c r="D32" s="250" t="s">
        <v>221</v>
      </c>
      <c r="E32" s="247" t="s">
        <v>10</v>
      </c>
      <c r="F32" s="251" t="s">
        <v>223</v>
      </c>
      <c r="G32" s="247" t="s">
        <v>158</v>
      </c>
      <c r="H32" s="246"/>
    </row>
    <row r="33" spans="1:8" ht="15.75" x14ac:dyDescent="0.25">
      <c r="A33" s="467" t="s">
        <v>144</v>
      </c>
      <c r="B33" s="469" t="s">
        <v>227</v>
      </c>
      <c r="C33" s="469" t="s">
        <v>227</v>
      </c>
      <c r="D33" s="471" t="s">
        <v>227</v>
      </c>
      <c r="E33" s="469" t="s">
        <v>227</v>
      </c>
      <c r="F33" s="469" t="s">
        <v>227</v>
      </c>
      <c r="G33" s="469" t="s">
        <v>227</v>
      </c>
      <c r="H33" s="246"/>
    </row>
    <row r="34" spans="1:8" ht="15" x14ac:dyDescent="0.2">
      <c r="A34" s="348" t="s">
        <v>514</v>
      </c>
      <c r="B34" s="340">
        <v>474.09999999999997</v>
      </c>
      <c r="C34" s="340">
        <v>402.76163121999065</v>
      </c>
      <c r="D34" s="340">
        <v>71.338368780009361</v>
      </c>
      <c r="E34" s="340">
        <v>208.18263121999061</v>
      </c>
      <c r="F34" s="340">
        <v>265.91736878000938</v>
      </c>
      <c r="G34" s="340">
        <v>109</v>
      </c>
      <c r="H34" s="351"/>
    </row>
    <row r="35" spans="1:8" ht="15" x14ac:dyDescent="0.2">
      <c r="A35" s="468" t="s">
        <v>147</v>
      </c>
      <c r="B35" s="470">
        <v>453.02666666666664</v>
      </c>
      <c r="C35" s="470">
        <v>384.85029432568155</v>
      </c>
      <c r="D35" s="470">
        <v>68.176372340985054</v>
      </c>
      <c r="E35" s="470">
        <v>197.60462765901491</v>
      </c>
      <c r="F35" s="470">
        <v>255.42203900765173</v>
      </c>
      <c r="G35" s="470">
        <v>103.66666666666667</v>
      </c>
      <c r="H35" s="468"/>
    </row>
    <row r="36" spans="1:8" ht="15" x14ac:dyDescent="0.2">
      <c r="A36" s="351" t="s">
        <v>520</v>
      </c>
      <c r="B36" s="340">
        <v>459.43333333333334</v>
      </c>
      <c r="C36" s="340">
        <v>401.80188121999055</v>
      </c>
      <c r="D36" s="340">
        <v>57.631452113342711</v>
      </c>
      <c r="E36" s="340">
        <v>227.8728812199906</v>
      </c>
      <c r="F36" s="340">
        <v>231.56045211334273</v>
      </c>
      <c r="G36" s="340">
        <v>105.33333333333333</v>
      </c>
      <c r="H36" s="349"/>
    </row>
    <row r="37" spans="1:8" ht="15" x14ac:dyDescent="0.2">
      <c r="A37" s="351" t="s">
        <v>519</v>
      </c>
      <c r="B37" s="340">
        <v>438.35999999999996</v>
      </c>
      <c r="C37" s="340">
        <v>383.89054432568156</v>
      </c>
      <c r="D37" s="340">
        <v>54.469455674318418</v>
      </c>
      <c r="E37" s="340">
        <v>217.2948776590149</v>
      </c>
      <c r="F37" s="340">
        <v>221.06512234098508</v>
      </c>
      <c r="G37" s="340">
        <v>100</v>
      </c>
      <c r="H37" s="351"/>
    </row>
    <row r="38" spans="1:8" ht="15" x14ac:dyDescent="0.2">
      <c r="A38" s="351" t="s">
        <v>516</v>
      </c>
      <c r="B38" s="340">
        <v>444.76666666666665</v>
      </c>
      <c r="C38" s="340">
        <v>399.59518202167834</v>
      </c>
      <c r="D38" s="340">
        <v>45.17148464498829</v>
      </c>
      <c r="E38" s="340">
        <v>228.16951535501167</v>
      </c>
      <c r="F38" s="340">
        <v>216.59715131165498</v>
      </c>
      <c r="G38" s="340">
        <v>103.33333333333333</v>
      </c>
      <c r="H38" s="406"/>
    </row>
    <row r="39" spans="1:8" ht="15" x14ac:dyDescent="0.2">
      <c r="A39" s="351" t="s">
        <v>412</v>
      </c>
      <c r="B39" s="340">
        <v>423.69333333333333</v>
      </c>
      <c r="C39" s="340">
        <v>381.6838451273693</v>
      </c>
      <c r="D39" s="340">
        <v>42.009488205963997</v>
      </c>
      <c r="E39" s="340">
        <v>217.59151179403599</v>
      </c>
      <c r="F39" s="340">
        <v>206.10182153929733</v>
      </c>
      <c r="G39" s="340">
        <v>98</v>
      </c>
      <c r="H39" s="406"/>
    </row>
    <row r="40" spans="1:8" ht="15" x14ac:dyDescent="0.2">
      <c r="A40" s="348" t="s">
        <v>148</v>
      </c>
      <c r="B40" s="340">
        <v>380.26666666666665</v>
      </c>
      <c r="C40" s="340">
        <v>350.05508599234827</v>
      </c>
      <c r="D40" s="340">
        <v>30.211580674318423</v>
      </c>
      <c r="E40" s="340">
        <v>185.14275265901492</v>
      </c>
      <c r="F40" s="340">
        <v>195.12391400765173</v>
      </c>
      <c r="G40" s="340">
        <v>85.333333333333329</v>
      </c>
      <c r="H40" s="351"/>
    </row>
    <row r="41" spans="1:8" ht="15" x14ac:dyDescent="0.2">
      <c r="A41" s="351" t="s">
        <v>517</v>
      </c>
      <c r="B41" s="340">
        <v>327.43333333333334</v>
      </c>
      <c r="C41" s="340">
        <v>310.69276471329232</v>
      </c>
      <c r="D41" s="340">
        <v>16.740568620041007</v>
      </c>
      <c r="E41" s="340">
        <v>181.26576471329227</v>
      </c>
      <c r="F41" s="340">
        <v>146.16756862004101</v>
      </c>
      <c r="G41" s="340">
        <v>113</v>
      </c>
      <c r="H41" s="406"/>
    </row>
    <row r="42" spans="1:8" ht="15" x14ac:dyDescent="0.2">
      <c r="A42" s="348" t="s">
        <v>521</v>
      </c>
      <c r="B42" s="340">
        <v>365.59999999999997</v>
      </c>
      <c r="C42" s="340">
        <v>349.09533599234823</v>
      </c>
      <c r="D42" s="340">
        <v>16.50466400765178</v>
      </c>
      <c r="E42" s="340">
        <v>204.83300265901485</v>
      </c>
      <c r="F42" s="340">
        <v>160.76699734098511</v>
      </c>
      <c r="G42" s="340">
        <v>81.666666666666671</v>
      </c>
      <c r="H42" s="351"/>
    </row>
    <row r="43" spans="1:8" ht="15" x14ac:dyDescent="0.2">
      <c r="A43" s="351" t="s">
        <v>413</v>
      </c>
      <c r="B43" s="340">
        <v>306.35999999999996</v>
      </c>
      <c r="C43" s="340">
        <v>292.78142781898327</v>
      </c>
      <c r="D43" s="340">
        <v>13.57857218101671</v>
      </c>
      <c r="E43" s="340">
        <v>170.6877611523166</v>
      </c>
      <c r="F43" s="340">
        <v>135.67223884768336</v>
      </c>
      <c r="G43" s="340">
        <v>105</v>
      </c>
      <c r="H43" s="406"/>
    </row>
    <row r="44" spans="1:8" ht="15" x14ac:dyDescent="0.2">
      <c r="A44" s="351" t="s">
        <v>515</v>
      </c>
      <c r="B44" s="340">
        <v>402.43333333333334</v>
      </c>
      <c r="C44" s="340">
        <v>393.59901535501172</v>
      </c>
      <c r="D44" s="340">
        <v>8.8343179783216019</v>
      </c>
      <c r="E44" s="340">
        <v>237.75668202167836</v>
      </c>
      <c r="F44" s="340">
        <v>164.67665131165495</v>
      </c>
      <c r="G44" s="340">
        <v>89.666666666666671</v>
      </c>
      <c r="H44" s="351"/>
    </row>
    <row r="45" spans="1:8" ht="15" x14ac:dyDescent="0.2">
      <c r="A45" s="348" t="s">
        <v>513</v>
      </c>
      <c r="B45" s="340">
        <v>389.76666666666665</v>
      </c>
      <c r="C45" s="340">
        <v>382.78834580332392</v>
      </c>
      <c r="D45" s="340">
        <v>6.9783208633427121</v>
      </c>
      <c r="E45" s="340">
        <v>230.79267913665726</v>
      </c>
      <c r="F45" s="340">
        <v>158.9739875300094</v>
      </c>
      <c r="G45" s="340">
        <v>87</v>
      </c>
      <c r="H45" s="351"/>
    </row>
    <row r="46" spans="1:8" ht="15" x14ac:dyDescent="0.2">
      <c r="A46" s="351" t="s">
        <v>201</v>
      </c>
      <c r="B46" s="340">
        <v>381.35999999999996</v>
      </c>
      <c r="C46" s="340">
        <v>375.68767846070267</v>
      </c>
      <c r="D46" s="340">
        <v>5.6723215392973048</v>
      </c>
      <c r="E46" s="340">
        <v>227.17867846070268</v>
      </c>
      <c r="F46" s="340">
        <v>154.1813215392973</v>
      </c>
      <c r="G46" s="340">
        <v>84.333333333333329</v>
      </c>
      <c r="H46" s="351"/>
    </row>
    <row r="47" spans="1:8" ht="15" x14ac:dyDescent="0.2">
      <c r="A47" s="351" t="s">
        <v>414</v>
      </c>
      <c r="B47" s="346">
        <v>350.93333333333334</v>
      </c>
      <c r="C47" s="346">
        <v>346.88863679403602</v>
      </c>
      <c r="D47" s="346">
        <v>4.044696539297358</v>
      </c>
      <c r="E47" s="346">
        <v>205.12963679403597</v>
      </c>
      <c r="F47" s="346">
        <v>145.80369653929733</v>
      </c>
      <c r="G47" s="346">
        <v>79.666666666666671</v>
      </c>
      <c r="H47" s="351"/>
    </row>
    <row r="48" spans="1:8" ht="15" x14ac:dyDescent="0.2">
      <c r="A48" s="348" t="s">
        <v>145</v>
      </c>
      <c r="B48" s="340">
        <v>368.69333333333333</v>
      </c>
      <c r="C48" s="340">
        <v>364.87700890901488</v>
      </c>
      <c r="D48" s="340">
        <v>3.8163244243184145</v>
      </c>
      <c r="E48" s="340">
        <v>220.21467557568155</v>
      </c>
      <c r="F48" s="340">
        <v>148.47865775765175</v>
      </c>
      <c r="G48" s="340">
        <v>81.666666666666671</v>
      </c>
      <c r="H48" s="351"/>
    </row>
    <row r="49" spans="1:8" ht="15" x14ac:dyDescent="0.2">
      <c r="A49" s="351" t="s">
        <v>415</v>
      </c>
      <c r="B49" s="346">
        <v>233.6</v>
      </c>
      <c r="C49" s="346">
        <v>257.98621948564988</v>
      </c>
      <c r="D49" s="346">
        <v>-24.386219485649928</v>
      </c>
      <c r="E49" s="346">
        <v>158.22588615231658</v>
      </c>
      <c r="F49" s="346">
        <v>75.374113847683404</v>
      </c>
      <c r="G49" s="346">
        <v>77.5</v>
      </c>
      <c r="H49" s="351"/>
    </row>
    <row r="50" spans="1:8" ht="15" x14ac:dyDescent="0.2">
      <c r="A50" s="351" t="s">
        <v>202</v>
      </c>
      <c r="B50" s="346">
        <v>308.59999999999997</v>
      </c>
      <c r="C50" s="346">
        <v>340.89247012736934</v>
      </c>
      <c r="D50" s="346">
        <v>-32.292470127369334</v>
      </c>
      <c r="E50" s="346">
        <v>214.71680346070264</v>
      </c>
      <c r="F50" s="346">
        <v>93.883196539297344</v>
      </c>
      <c r="G50" s="346">
        <v>66</v>
      </c>
      <c r="H50" s="351"/>
    </row>
    <row r="51" spans="1:8" ht="15" x14ac:dyDescent="0.2">
      <c r="A51" s="348" t="s">
        <v>146</v>
      </c>
      <c r="B51" s="340">
        <v>295.93333333333334</v>
      </c>
      <c r="C51" s="340">
        <v>330.08180057568154</v>
      </c>
      <c r="D51" s="340">
        <v>-34.148467242348225</v>
      </c>
      <c r="E51" s="340">
        <v>207.75280057568156</v>
      </c>
      <c r="F51" s="340">
        <v>88.180532757651761</v>
      </c>
      <c r="G51" s="340">
        <v>63.333333333333336</v>
      </c>
      <c r="H51" s="351"/>
    </row>
    <row r="52" spans="1:8" ht="15" x14ac:dyDescent="0.2">
      <c r="A52" s="263"/>
      <c r="B52" s="265"/>
      <c r="C52" s="265"/>
      <c r="D52" s="265"/>
      <c r="E52" s="265"/>
      <c r="F52" s="265"/>
      <c r="G52" s="265"/>
      <c r="H52" s="246"/>
    </row>
    <row r="53" spans="1:8" ht="15.75" x14ac:dyDescent="0.25">
      <c r="A53" s="266"/>
      <c r="B53" s="268"/>
      <c r="C53" s="268"/>
      <c r="D53" s="268"/>
      <c r="E53" s="247" t="s">
        <v>215</v>
      </c>
      <c r="F53" s="268"/>
      <c r="G53" s="250" t="s">
        <v>309</v>
      </c>
      <c r="H53" s="246"/>
    </row>
  </sheetData>
  <sortState ref="J6:K29">
    <sortCondition descending="1" ref="K6:K29"/>
  </sortState>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2"/>
  <sheetViews>
    <sheetView zoomScaleNormal="100" workbookViewId="0">
      <selection activeCell="E61" sqref="E61"/>
    </sheetView>
  </sheetViews>
  <sheetFormatPr defaultColWidth="9.140625" defaultRowHeight="12.75" x14ac:dyDescent="0.2"/>
  <cols>
    <col min="1" max="1" width="6.28515625" style="197" customWidth="1"/>
    <col min="2" max="3" width="9.140625" style="197"/>
    <col min="4" max="5" width="14.7109375" style="197" customWidth="1"/>
    <col min="6" max="16384" width="9.140625" style="197"/>
  </cols>
  <sheetData>
    <row r="1" spans="2:14" s="382" customFormat="1" x14ac:dyDescent="0.2"/>
    <row r="2" spans="2:14" ht="18" x14ac:dyDescent="0.2">
      <c r="B2" s="556" t="s">
        <v>390</v>
      </c>
      <c r="C2" s="557"/>
      <c r="D2" s="557"/>
      <c r="E2" s="557"/>
      <c r="F2" s="557"/>
      <c r="G2" s="557"/>
      <c r="H2" s="557"/>
      <c r="I2" s="557"/>
      <c r="J2" s="557"/>
      <c r="K2" s="557"/>
      <c r="L2" s="557"/>
    </row>
    <row r="10" spans="2:14" x14ac:dyDescent="0.2">
      <c r="J10" s="210"/>
      <c r="N10" s="211"/>
    </row>
    <row r="11" spans="2:14" x14ac:dyDescent="0.2">
      <c r="J11" s="212"/>
      <c r="N11" s="213"/>
    </row>
    <row r="12" spans="2:14" x14ac:dyDescent="0.2">
      <c r="J12" s="210"/>
      <c r="N12" s="213"/>
    </row>
    <row r="13" spans="2:14" x14ac:dyDescent="0.2">
      <c r="J13" s="210"/>
      <c r="N13" s="213"/>
    </row>
    <row r="14" spans="2:14" x14ac:dyDescent="0.2">
      <c r="J14" s="210"/>
      <c r="N14" s="213"/>
    </row>
    <row r="15" spans="2:14" x14ac:dyDescent="0.2">
      <c r="J15" s="314"/>
      <c r="N15" s="213"/>
    </row>
    <row r="16" spans="2:14" x14ac:dyDescent="0.2">
      <c r="J16" s="210"/>
      <c r="N16" s="213"/>
    </row>
    <row r="17" spans="2:14" x14ac:dyDescent="0.2">
      <c r="J17" s="210"/>
      <c r="N17" s="213"/>
    </row>
    <row r="18" spans="2:14" x14ac:dyDescent="0.2">
      <c r="J18" s="210"/>
      <c r="N18" s="213"/>
    </row>
    <row r="19" spans="2:14" x14ac:dyDescent="0.2">
      <c r="J19" s="210"/>
    </row>
    <row r="20" spans="2:14" x14ac:dyDescent="0.2">
      <c r="J20" s="314"/>
    </row>
    <row r="28" spans="2:14" x14ac:dyDescent="0.2">
      <c r="B28" s="210"/>
    </row>
    <row r="29" spans="2:14" x14ac:dyDescent="0.2">
      <c r="B29" s="210"/>
    </row>
    <row r="30" spans="2:14" x14ac:dyDescent="0.2">
      <c r="B30" s="210"/>
    </row>
    <row r="31" spans="2:14" x14ac:dyDescent="0.2">
      <c r="B31" s="210"/>
    </row>
    <row r="32" spans="2:14" x14ac:dyDescent="0.2">
      <c r="B32" s="210"/>
    </row>
    <row r="33" spans="2:3" x14ac:dyDescent="0.2">
      <c r="B33" s="313"/>
      <c r="C33" s="313"/>
    </row>
    <row r="34" spans="2:3" x14ac:dyDescent="0.2">
      <c r="B34" s="314"/>
      <c r="C34" s="314"/>
    </row>
    <row r="36" spans="2:3" s="464" customFormat="1" x14ac:dyDescent="0.2">
      <c r="B36" s="210"/>
    </row>
    <row r="37" spans="2:3" s="464" customFormat="1" x14ac:dyDescent="0.2">
      <c r="B37" s="210"/>
    </row>
    <row r="38" spans="2:3" s="464" customFormat="1" x14ac:dyDescent="0.2">
      <c r="B38" s="210"/>
    </row>
    <row r="39" spans="2:3" s="464" customFormat="1" x14ac:dyDescent="0.2">
      <c r="B39" s="210"/>
    </row>
    <row r="40" spans="2:3" s="464" customFormat="1" x14ac:dyDescent="0.2">
      <c r="B40" s="210"/>
    </row>
    <row r="41" spans="2:3" s="383" customFormat="1" x14ac:dyDescent="0.2">
      <c r="B41" s="210" t="s">
        <v>297</v>
      </c>
    </row>
    <row r="42" spans="2:3" s="383" customFormat="1" x14ac:dyDescent="0.2">
      <c r="B42" s="212" t="s">
        <v>228</v>
      </c>
    </row>
    <row r="43" spans="2:3" s="383" customFormat="1" x14ac:dyDescent="0.2">
      <c r="B43" s="210" t="s">
        <v>182</v>
      </c>
    </row>
    <row r="44" spans="2:3" s="383" customFormat="1" x14ac:dyDescent="0.2">
      <c r="B44" s="210" t="s">
        <v>203</v>
      </c>
    </row>
    <row r="45" spans="2:3" s="383" customFormat="1" x14ac:dyDescent="0.2">
      <c r="B45" s="210" t="s">
        <v>140</v>
      </c>
    </row>
    <row r="46" spans="2:3" s="383" customFormat="1" x14ac:dyDescent="0.2">
      <c r="B46" s="210" t="s">
        <v>141</v>
      </c>
    </row>
    <row r="47" spans="2:3" s="383" customFormat="1" x14ac:dyDescent="0.2">
      <c r="B47" s="210" t="s">
        <v>142</v>
      </c>
    </row>
    <row r="48" spans="2:3" s="383" customFormat="1" x14ac:dyDescent="0.2">
      <c r="B48" s="314" t="s">
        <v>512</v>
      </c>
    </row>
    <row r="49" spans="1:239" s="383" customFormat="1" x14ac:dyDescent="0.2">
      <c r="B49" s="210" t="s">
        <v>143</v>
      </c>
    </row>
    <row r="50" spans="1:239" s="401" customFormat="1" x14ac:dyDescent="0.2">
      <c r="B50" s="314" t="s">
        <v>409</v>
      </c>
    </row>
    <row r="51" spans="1:239" x14ac:dyDescent="0.2">
      <c r="B51" s="314"/>
      <c r="C51" s="314"/>
    </row>
    <row r="52" spans="1:239" x14ac:dyDescent="0.2">
      <c r="B52" s="314"/>
      <c r="C52" s="314"/>
    </row>
    <row r="53" spans="1:239" s="92" customFormat="1" ht="15.75" x14ac:dyDescent="0.25">
      <c r="A53" s="230"/>
      <c r="B53" s="231"/>
      <c r="C53" s="231"/>
      <c r="D53" s="231"/>
      <c r="E53" s="328" t="s">
        <v>378</v>
      </c>
      <c r="F53" s="329"/>
      <c r="G53" s="330"/>
      <c r="H53" s="329"/>
      <c r="I53" s="330"/>
      <c r="J53" s="330"/>
      <c r="K53" s="330"/>
      <c r="L53" s="231"/>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row>
    <row r="54" spans="1:239" s="338" customFormat="1" ht="14.25" x14ac:dyDescent="0.2">
      <c r="D54" s="403"/>
      <c r="E54" s="321" t="s">
        <v>14</v>
      </c>
      <c r="F54" s="321"/>
      <c r="G54" s="404"/>
      <c r="H54" s="404"/>
    </row>
    <row r="55" spans="1:239" s="338" customFormat="1" ht="14.25" x14ac:dyDescent="0.2">
      <c r="D55" s="403"/>
      <c r="E55" s="321" t="s">
        <v>15</v>
      </c>
      <c r="F55" s="321"/>
      <c r="G55" s="404"/>
      <c r="H55" s="404"/>
    </row>
    <row r="56" spans="1:239" s="338" customFormat="1" ht="14.25" x14ac:dyDescent="0.2">
      <c r="D56" s="403"/>
      <c r="E56" s="196" t="s">
        <v>421</v>
      </c>
      <c r="F56" s="415"/>
      <c r="G56" s="404"/>
      <c r="H56" s="404"/>
    </row>
    <row r="57" spans="1:239" s="338" customFormat="1" ht="14.25" x14ac:dyDescent="0.2">
      <c r="D57" s="403"/>
      <c r="E57" s="321" t="s">
        <v>349</v>
      </c>
      <c r="F57" s="321"/>
      <c r="G57" s="404"/>
      <c r="H57" s="404"/>
    </row>
    <row r="58" spans="1:239" s="338" customFormat="1" ht="13.5" customHeight="1" x14ac:dyDescent="0.2">
      <c r="D58" s="403"/>
      <c r="E58" s="321" t="s">
        <v>138</v>
      </c>
      <c r="F58" s="321"/>
      <c r="G58" s="404"/>
      <c r="H58" s="404"/>
    </row>
    <row r="59" spans="1:239" s="338" customFormat="1" ht="14.25" x14ac:dyDescent="0.2">
      <c r="D59" s="403"/>
      <c r="E59" s="321" t="s">
        <v>17</v>
      </c>
      <c r="F59" s="321"/>
      <c r="G59" s="404"/>
      <c r="H59" s="404"/>
    </row>
    <row r="60" spans="1:239" s="338" customFormat="1" ht="14.25" x14ac:dyDescent="0.2">
      <c r="D60" s="403"/>
      <c r="E60" s="321" t="s">
        <v>401</v>
      </c>
      <c r="F60" s="321"/>
      <c r="G60" s="404"/>
      <c r="H60" s="404"/>
    </row>
    <row r="61" spans="1:239" s="338" customFormat="1" ht="14.25" x14ac:dyDescent="0.2">
      <c r="D61" s="403"/>
      <c r="E61" s="321" t="s">
        <v>518</v>
      </c>
      <c r="F61" s="321"/>
      <c r="G61" s="404"/>
      <c r="H61" s="404"/>
    </row>
    <row r="62" spans="1:239" s="338" customFormat="1" ht="14.25" x14ac:dyDescent="0.2">
      <c r="D62" s="403"/>
      <c r="E62" s="321" t="s">
        <v>6</v>
      </c>
      <c r="F62" s="321"/>
      <c r="G62" s="404"/>
      <c r="H62" s="404"/>
    </row>
  </sheetData>
  <mergeCells count="1">
    <mergeCell ref="B2:L2"/>
  </mergeCells>
  <hyperlinks>
    <hyperlink ref="D54:H54" location="'Soft White Winter Wheat'!A1" display="EBB1-SWW-09 "/>
    <hyperlink ref="D55:H55" location="'Soft White Spring Wheat'!A1" display="EBB1-SSW-09 "/>
    <hyperlink ref="D57:H57" location="'Spring Barley'!A1" display="EBB1-FB-09 "/>
    <hyperlink ref="D58:H58" location="'Spring Lentils'!A1" display="EBB1-Len-09 "/>
    <hyperlink ref="D59:H59" location="'Spring Peas'!A1" display="EBB1-SP-09 "/>
    <hyperlink ref="D61:H61" location="Garbanzos!A1" display="EBB1-Garb-09 "/>
    <hyperlink ref="D62:H62" location="'Spring Canola'!A1" display="EBB1-SC-09 "/>
    <hyperlink ref="D57:E57" location="'Feed Barley'!A1" display="EBB1-FB-09 "/>
    <hyperlink ref="D58:E58" location="'Spring Lentils'!A1" display="EBB1-Len-09 "/>
    <hyperlink ref="D59:E59" location="'Spring Peas'!A1" display="EBB1-SP-09 "/>
    <hyperlink ref="D61:E61" location="Garbanzos!A1" display="EBB1-Garb-09 "/>
    <hyperlink ref="D57:F57" location="'Feed Barley'!A1" display="EBB1-FB-09 "/>
    <hyperlink ref="D58:F58" location="'Spring Lentils'!A1" display="EBB1-Len-09 "/>
    <hyperlink ref="D59:F59" location="'Spring Peas'!A1" display="EBB1-SP-09 "/>
    <hyperlink ref="D61:F61" location="Garbanzos!A1" display="EBB1-Garb-09 "/>
    <hyperlink ref="E54:F54" location="'Soft White Winter Wheat'!A1" display="EBB1-SWW-09 "/>
    <hyperlink ref="E55:F55" location="'Soft White Spring Wheat'!A1" display="EBB1-SSW-09 "/>
    <hyperlink ref="E57:F57" location="'Feed Barley'!A1" display="EBB1-FB-09 "/>
    <hyperlink ref="E58:F58" location="'Spring Lentils'!A1" display="EBB1-Len-09 "/>
    <hyperlink ref="E59:F59" location="'Spring Peas'!A1" display="EBB1-SP-09 "/>
    <hyperlink ref="E61:F61" location="Garbanzos!A1" display="EBB1-Garb-09 "/>
    <hyperlink ref="E62:F62" location="'Spring Canola'!A1" display="EBB1-SC-09 "/>
    <hyperlink ref="E57" location="'Feed Barley'!A1" display="EBB1-FB-09 "/>
    <hyperlink ref="E58" location="'Spring Lentils'!A1" display="EBB1-Len-09 "/>
    <hyperlink ref="E59" location="'Spring Peas'!A1" display="EBB1-SP-09 "/>
    <hyperlink ref="E61" location="Chickpeas!A1" display="Chickpeas"/>
    <hyperlink ref="E54" location="'Soft White Winter Wheat'!A1" display="EBB1-SWW-09 "/>
    <hyperlink ref="E55" location="'Soft White Spring Wheat'!A1" display="EBB1-SSW-09 "/>
    <hyperlink ref="E62" location="'Spring Canola'!A1" display="EBB1-SC-09 "/>
    <hyperlink ref="E60:F60" location="'Austrian Winter Peas'!A1" display="Austrian Winter Peas"/>
    <hyperlink ref="E56:F56" location="'Dark Northern Spring Wheat'!A1" display="Dark Northern Spring Wheat"/>
  </hyperlinks>
  <printOptions verticalCentered="1"/>
  <pageMargins left="0.7" right="0.7" top="0.75" bottom="0.75" header="0.3" footer="0.3"/>
  <pageSetup scale="82" orientation="portrait" r:id="rId1"/>
  <headerFooter>
    <oddFooter>&amp;L&amp;A&amp;C&amp;F&amp;R&amp;D</oddFooter>
  </headerFooter>
  <rowBreaks count="1" manualBreakCount="1">
    <brk id="26"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00"/>
  </sheetPr>
  <dimension ref="A2:IE126"/>
  <sheetViews>
    <sheetView zoomScale="110" zoomScaleNormal="110" workbookViewId="0">
      <selection activeCell="B111" sqref="B111"/>
    </sheetView>
  </sheetViews>
  <sheetFormatPr defaultColWidth="11.42578125" defaultRowHeight="12.75" x14ac:dyDescent="0.2"/>
  <cols>
    <col min="1" max="1" width="3.140625" style="40" customWidth="1"/>
    <col min="2" max="2" width="32.5703125" style="40" customWidth="1"/>
    <col min="3" max="3" width="10.7109375" style="58" customWidth="1"/>
    <col min="4" max="4" width="15.85546875" style="98" customWidth="1"/>
    <col min="5" max="5" width="17.85546875" style="40" customWidth="1"/>
    <col min="6" max="16384" width="11.42578125" style="40"/>
  </cols>
  <sheetData>
    <row r="2" spans="2:5" ht="18" customHeight="1" x14ac:dyDescent="0.2">
      <c r="B2" s="385" t="s">
        <v>49</v>
      </c>
      <c r="C2" s="386"/>
      <c r="D2" s="387"/>
      <c r="E2" s="379"/>
    </row>
    <row r="3" spans="2:5" x14ac:dyDescent="0.2">
      <c r="B3" s="388" t="s">
        <v>383</v>
      </c>
      <c r="C3" s="389"/>
      <c r="D3" s="390"/>
      <c r="E3" s="391"/>
    </row>
    <row r="4" spans="2:5" x14ac:dyDescent="0.2">
      <c r="B4" s="375" t="s">
        <v>384</v>
      </c>
      <c r="C4" s="375"/>
      <c r="D4" s="375"/>
      <c r="E4" s="375"/>
    </row>
    <row r="5" spans="2:5" x14ac:dyDescent="0.2">
      <c r="B5" s="392" t="s">
        <v>7</v>
      </c>
      <c r="C5" s="393"/>
      <c r="D5" s="394"/>
      <c r="E5" s="395"/>
    </row>
    <row r="6" spans="2:5" x14ac:dyDescent="0.2">
      <c r="B6" s="396" t="s">
        <v>8</v>
      </c>
      <c r="C6" s="386"/>
      <c r="D6" s="387"/>
      <c r="E6" s="379"/>
    </row>
    <row r="7" spans="2:5" ht="18" customHeight="1" x14ac:dyDescent="0.2"/>
    <row r="8" spans="2:5" ht="22.5" customHeight="1" x14ac:dyDescent="0.2">
      <c r="B8" s="558" t="s">
        <v>510</v>
      </c>
      <c r="C8" s="558"/>
      <c r="D8" s="558"/>
      <c r="E8" s="559"/>
    </row>
    <row r="9" spans="2:5" ht="15" customHeight="1" x14ac:dyDescent="0.2">
      <c r="B9" s="157"/>
      <c r="C9" s="152"/>
      <c r="D9" s="399">
        <v>2016</v>
      </c>
      <c r="E9" s="158"/>
    </row>
    <row r="10" spans="2:5" ht="15" customHeight="1" x14ac:dyDescent="0.2">
      <c r="B10" s="154" t="s">
        <v>252</v>
      </c>
      <c r="C10" s="153" t="s">
        <v>157</v>
      </c>
      <c r="D10" s="474" t="s">
        <v>506</v>
      </c>
      <c r="E10" s="336"/>
    </row>
    <row r="11" spans="2:5" ht="15" customHeight="1" x14ac:dyDescent="0.2">
      <c r="B11" s="159" t="s">
        <v>177</v>
      </c>
      <c r="C11" s="160"/>
      <c r="D11" s="160"/>
      <c r="E11" s="165"/>
    </row>
    <row r="12" spans="2:5" ht="15" customHeight="1" x14ac:dyDescent="0.2">
      <c r="B12" s="161" t="s">
        <v>183</v>
      </c>
      <c r="C12" s="160" t="s">
        <v>286</v>
      </c>
      <c r="D12" s="358">
        <v>2</v>
      </c>
      <c r="E12" s="166"/>
    </row>
    <row r="13" spans="2:5" ht="15" customHeight="1" x14ac:dyDescent="0.2">
      <c r="B13" s="161" t="s">
        <v>137</v>
      </c>
      <c r="C13" s="160" t="s">
        <v>286</v>
      </c>
      <c r="D13" s="358">
        <v>2.35</v>
      </c>
      <c r="E13" s="166"/>
    </row>
    <row r="14" spans="2:5" ht="15" customHeight="1" x14ac:dyDescent="0.2">
      <c r="B14" s="161"/>
      <c r="C14" s="160"/>
      <c r="D14" s="170"/>
      <c r="E14" s="165"/>
    </row>
    <row r="15" spans="2:5" ht="15" customHeight="1" x14ac:dyDescent="0.2">
      <c r="B15" s="159" t="s">
        <v>200</v>
      </c>
      <c r="C15" s="160"/>
      <c r="D15" s="170"/>
      <c r="E15" s="165"/>
    </row>
    <row r="16" spans="2:5" ht="15" customHeight="1" x14ac:dyDescent="0.2">
      <c r="B16" s="189" t="s">
        <v>396</v>
      </c>
      <c r="C16" s="160" t="s">
        <v>189</v>
      </c>
      <c r="D16" s="358">
        <v>0.26</v>
      </c>
      <c r="E16" s="167"/>
    </row>
    <row r="17" spans="2:5" ht="15" customHeight="1" x14ac:dyDescent="0.2">
      <c r="B17" s="189" t="s">
        <v>398</v>
      </c>
      <c r="C17" s="160" t="s">
        <v>189</v>
      </c>
      <c r="D17" s="358">
        <v>0.26</v>
      </c>
      <c r="E17" s="167"/>
    </row>
    <row r="18" spans="2:5" ht="15" customHeight="1" x14ac:dyDescent="0.2">
      <c r="B18" s="189" t="s">
        <v>397</v>
      </c>
      <c r="C18" s="160" t="s">
        <v>189</v>
      </c>
      <c r="D18" s="358">
        <v>0.3</v>
      </c>
      <c r="E18" s="167"/>
    </row>
    <row r="19" spans="2:5" ht="15" customHeight="1" x14ac:dyDescent="0.2">
      <c r="B19" s="189" t="s">
        <v>395</v>
      </c>
      <c r="C19" s="160" t="s">
        <v>189</v>
      </c>
      <c r="D19" s="358">
        <v>0.26</v>
      </c>
      <c r="E19" s="168"/>
    </row>
    <row r="20" spans="2:5" ht="15" customHeight="1" x14ac:dyDescent="0.2">
      <c r="B20" s="161" t="s">
        <v>133</v>
      </c>
      <c r="C20" s="160" t="s">
        <v>189</v>
      </c>
      <c r="D20" s="358">
        <v>0.38</v>
      </c>
      <c r="E20" s="168"/>
    </row>
    <row r="21" spans="2:5" ht="15" customHeight="1" x14ac:dyDescent="0.2">
      <c r="B21" s="161" t="s">
        <v>92</v>
      </c>
      <c r="C21" s="160" t="s">
        <v>189</v>
      </c>
      <c r="D21" s="358">
        <v>0.41</v>
      </c>
      <c r="E21" s="165"/>
    </row>
    <row r="22" spans="2:5" ht="15" customHeight="1" x14ac:dyDescent="0.2">
      <c r="B22" s="161" t="s">
        <v>474</v>
      </c>
      <c r="C22" s="160" t="s">
        <v>189</v>
      </c>
      <c r="D22" s="358">
        <v>0.6</v>
      </c>
      <c r="E22" s="165"/>
    </row>
    <row r="23" spans="2:5" ht="15" customHeight="1" x14ac:dyDescent="0.2">
      <c r="B23" s="189" t="s">
        <v>319</v>
      </c>
      <c r="C23" s="160" t="s">
        <v>189</v>
      </c>
      <c r="D23" s="358">
        <v>11</v>
      </c>
      <c r="E23" s="167"/>
    </row>
    <row r="24" spans="2:5" ht="15" customHeight="1" x14ac:dyDescent="0.2">
      <c r="B24" s="161"/>
      <c r="C24" s="160"/>
      <c r="D24" s="170"/>
      <c r="E24" s="167"/>
    </row>
    <row r="25" spans="2:5" ht="15" customHeight="1" x14ac:dyDescent="0.2">
      <c r="B25" s="159" t="s">
        <v>212</v>
      </c>
      <c r="C25" s="160"/>
      <c r="D25" s="170"/>
      <c r="E25" s="167"/>
    </row>
    <row r="26" spans="2:5" ht="15" customHeight="1" x14ac:dyDescent="0.2">
      <c r="B26" s="189" t="s">
        <v>469</v>
      </c>
      <c r="C26" s="160" t="s">
        <v>189</v>
      </c>
      <c r="D26" s="358">
        <v>0.59</v>
      </c>
      <c r="E26" s="166"/>
    </row>
    <row r="27" spans="2:5" ht="15" customHeight="1" x14ac:dyDescent="0.2">
      <c r="B27" s="189" t="s">
        <v>552</v>
      </c>
      <c r="C27" s="160" t="s">
        <v>189</v>
      </c>
      <c r="D27" s="358">
        <v>0.72</v>
      </c>
      <c r="E27" s="166"/>
    </row>
    <row r="28" spans="2:5" ht="15" customHeight="1" x14ac:dyDescent="0.2">
      <c r="B28" s="189" t="s">
        <v>416</v>
      </c>
      <c r="C28" s="160" t="s">
        <v>189</v>
      </c>
      <c r="D28" s="358">
        <v>0.71</v>
      </c>
      <c r="E28" s="166"/>
    </row>
    <row r="29" spans="2:5" ht="15" customHeight="1" x14ac:dyDescent="0.2">
      <c r="B29" s="189" t="s">
        <v>320</v>
      </c>
      <c r="C29" s="160" t="s">
        <v>189</v>
      </c>
      <c r="D29" s="358">
        <v>0.53</v>
      </c>
      <c r="E29" s="166"/>
    </row>
    <row r="30" spans="2:5" ht="15" customHeight="1" x14ac:dyDescent="0.2">
      <c r="B30" s="189" t="s">
        <v>247</v>
      </c>
      <c r="C30" s="160" t="s">
        <v>189</v>
      </c>
      <c r="D30" s="358">
        <v>0.31</v>
      </c>
      <c r="E30" s="166"/>
    </row>
    <row r="31" spans="2:5" ht="15" customHeight="1" x14ac:dyDescent="0.2">
      <c r="B31" s="161"/>
      <c r="C31" s="160"/>
      <c r="D31" s="170"/>
      <c r="E31" s="167"/>
    </row>
    <row r="32" spans="2:5" ht="15" customHeight="1" x14ac:dyDescent="0.2">
      <c r="B32" s="159" t="s">
        <v>103</v>
      </c>
      <c r="C32" s="160"/>
      <c r="D32" s="170"/>
      <c r="E32" s="167"/>
    </row>
    <row r="33" spans="2:5" ht="15" customHeight="1" x14ac:dyDescent="0.2">
      <c r="B33" s="161" t="s">
        <v>258</v>
      </c>
      <c r="C33" s="160" t="s">
        <v>189</v>
      </c>
      <c r="D33" s="358">
        <v>0.22</v>
      </c>
      <c r="E33" s="167"/>
    </row>
    <row r="34" spans="2:5" ht="15" customHeight="1" x14ac:dyDescent="0.2">
      <c r="B34" s="161" t="s">
        <v>303</v>
      </c>
      <c r="C34" s="311" t="s">
        <v>191</v>
      </c>
      <c r="D34" s="358">
        <v>0.05</v>
      </c>
      <c r="E34" s="167"/>
    </row>
    <row r="35" spans="2:5" ht="15" customHeight="1" x14ac:dyDescent="0.2">
      <c r="B35" s="161" t="s">
        <v>1</v>
      </c>
      <c r="C35" s="160" t="s">
        <v>278</v>
      </c>
      <c r="D35" s="358">
        <v>1.88</v>
      </c>
      <c r="E35" s="167"/>
    </row>
    <row r="36" spans="2:5" x14ac:dyDescent="0.2">
      <c r="B36" s="161" t="s">
        <v>277</v>
      </c>
      <c r="C36" s="160" t="s">
        <v>191</v>
      </c>
      <c r="D36" s="358">
        <v>0.23</v>
      </c>
      <c r="E36" s="167"/>
    </row>
    <row r="37" spans="2:5" ht="15" customHeight="1" x14ac:dyDescent="0.2">
      <c r="B37" s="161" t="s">
        <v>302</v>
      </c>
      <c r="C37" s="160" t="s">
        <v>278</v>
      </c>
      <c r="D37" s="358">
        <v>6.25</v>
      </c>
      <c r="E37" s="167"/>
    </row>
    <row r="38" spans="2:5" ht="15" customHeight="1" x14ac:dyDescent="0.2">
      <c r="B38" s="161"/>
      <c r="C38" s="160"/>
      <c r="D38" s="170"/>
      <c r="E38" s="167"/>
    </row>
    <row r="39" spans="2:5" ht="15" customHeight="1" x14ac:dyDescent="0.2">
      <c r="B39" s="159" t="s">
        <v>168</v>
      </c>
      <c r="C39" s="160"/>
      <c r="D39" s="170"/>
      <c r="E39" s="167"/>
    </row>
    <row r="40" spans="2:5" ht="15" customHeight="1" x14ac:dyDescent="0.2">
      <c r="B40" s="189" t="s">
        <v>207</v>
      </c>
      <c r="C40" s="190" t="s">
        <v>190</v>
      </c>
      <c r="D40" s="358">
        <v>8.9499999999999993</v>
      </c>
      <c r="E40" s="167"/>
    </row>
    <row r="41" spans="2:5" ht="15" customHeight="1" x14ac:dyDescent="0.2">
      <c r="B41" s="189" t="s">
        <v>497</v>
      </c>
      <c r="C41" s="190" t="s">
        <v>190</v>
      </c>
      <c r="D41" s="358">
        <v>8.5</v>
      </c>
      <c r="E41" s="167"/>
    </row>
    <row r="42" spans="2:5" ht="15" customHeight="1" x14ac:dyDescent="0.2">
      <c r="B42" s="189" t="s">
        <v>166</v>
      </c>
      <c r="C42" s="190" t="s">
        <v>190</v>
      </c>
      <c r="D42" s="358">
        <v>1</v>
      </c>
      <c r="E42" s="167"/>
    </row>
    <row r="43" spans="2:5" ht="15" customHeight="1" x14ac:dyDescent="0.2">
      <c r="B43" s="189" t="s">
        <v>164</v>
      </c>
      <c r="C43" s="190" t="s">
        <v>190</v>
      </c>
      <c r="D43" s="358">
        <v>10</v>
      </c>
      <c r="E43" s="167"/>
    </row>
    <row r="44" spans="2:5" ht="15" customHeight="1" x14ac:dyDescent="0.2">
      <c r="B44" s="189" t="s">
        <v>165</v>
      </c>
      <c r="C44" s="190" t="s">
        <v>190</v>
      </c>
      <c r="D44" s="358">
        <v>2.5</v>
      </c>
      <c r="E44" s="167"/>
    </row>
    <row r="45" spans="2:5" ht="15" customHeight="1" x14ac:dyDescent="0.2">
      <c r="B45" s="189" t="s">
        <v>163</v>
      </c>
      <c r="C45" s="190" t="s">
        <v>190</v>
      </c>
      <c r="D45" s="358">
        <v>2</v>
      </c>
      <c r="E45" s="167"/>
    </row>
    <row r="46" spans="2:5" ht="15" customHeight="1" x14ac:dyDescent="0.2">
      <c r="B46" s="162"/>
      <c r="C46" s="163"/>
      <c r="D46" s="219"/>
      <c r="E46" s="169"/>
    </row>
    <row r="47" spans="2:5" ht="15" customHeight="1" x14ac:dyDescent="0.2">
      <c r="B47" s="159" t="s">
        <v>181</v>
      </c>
      <c r="C47" s="160"/>
      <c r="D47" s="170"/>
      <c r="E47" s="167"/>
    </row>
    <row r="48" spans="2:5" ht="15" customHeight="1" x14ac:dyDescent="0.2">
      <c r="B48" s="189" t="s">
        <v>391</v>
      </c>
      <c r="C48" s="160" t="s">
        <v>191</v>
      </c>
      <c r="D48" s="358">
        <v>0.28999999999999998</v>
      </c>
      <c r="E48" s="167" t="s">
        <v>373</v>
      </c>
    </row>
    <row r="49" spans="2:6" ht="15" customHeight="1" x14ac:dyDescent="0.2">
      <c r="B49" s="161" t="s">
        <v>253</v>
      </c>
      <c r="C49" s="160" t="s">
        <v>191</v>
      </c>
      <c r="D49" s="358">
        <v>1.171875</v>
      </c>
      <c r="E49" s="167" t="s">
        <v>373</v>
      </c>
    </row>
    <row r="50" spans="2:6" ht="15" customHeight="1" x14ac:dyDescent="0.2">
      <c r="B50" s="161" t="s">
        <v>374</v>
      </c>
      <c r="C50" s="160" t="s">
        <v>191</v>
      </c>
      <c r="D50" s="358">
        <v>11.98</v>
      </c>
      <c r="E50" s="167" t="s">
        <v>373</v>
      </c>
    </row>
    <row r="51" spans="2:6" ht="15" customHeight="1" x14ac:dyDescent="0.2">
      <c r="B51" s="161" t="s">
        <v>404</v>
      </c>
      <c r="C51" s="160" t="s">
        <v>191</v>
      </c>
      <c r="D51" s="358">
        <v>0.88</v>
      </c>
      <c r="E51" s="167" t="s">
        <v>321</v>
      </c>
    </row>
    <row r="52" spans="2:6" ht="15" customHeight="1" x14ac:dyDescent="0.2">
      <c r="B52" s="161" t="s">
        <v>375</v>
      </c>
      <c r="C52" s="160" t="s">
        <v>191</v>
      </c>
      <c r="D52" s="358">
        <v>0.86</v>
      </c>
      <c r="E52" s="167" t="s">
        <v>373</v>
      </c>
    </row>
    <row r="53" spans="2:6" ht="15" customHeight="1" x14ac:dyDescent="0.2">
      <c r="B53" s="161" t="s">
        <v>327</v>
      </c>
      <c r="C53" s="160" t="s">
        <v>191</v>
      </c>
      <c r="D53" s="358">
        <v>1.39</v>
      </c>
      <c r="E53" s="167" t="s">
        <v>373</v>
      </c>
    </row>
    <row r="54" spans="2:6" ht="15" customHeight="1" x14ac:dyDescent="0.2">
      <c r="B54" s="161" t="s">
        <v>402</v>
      </c>
      <c r="C54" s="160" t="s">
        <v>191</v>
      </c>
      <c r="D54" s="462">
        <v>0.56999999999999995</v>
      </c>
      <c r="E54" s="167" t="s">
        <v>373</v>
      </c>
    </row>
    <row r="55" spans="2:6" ht="15" customHeight="1" x14ac:dyDescent="0.2">
      <c r="B55" s="189" t="s">
        <v>462</v>
      </c>
      <c r="C55" s="160" t="s">
        <v>191</v>
      </c>
      <c r="D55" s="462">
        <v>0.38</v>
      </c>
      <c r="E55" s="167" t="s">
        <v>373</v>
      </c>
    </row>
    <row r="56" spans="2:6" ht="15" customHeight="1" x14ac:dyDescent="0.2">
      <c r="B56" s="189" t="s">
        <v>461</v>
      </c>
      <c r="C56" s="160" t="s">
        <v>278</v>
      </c>
      <c r="D56" s="462">
        <v>6.88</v>
      </c>
      <c r="E56" s="167" t="s">
        <v>373</v>
      </c>
    </row>
    <row r="57" spans="2:6" ht="15" customHeight="1" x14ac:dyDescent="0.2">
      <c r="B57" s="189" t="s">
        <v>463</v>
      </c>
      <c r="C57" s="311" t="s">
        <v>191</v>
      </c>
      <c r="D57" s="462">
        <v>2.64</v>
      </c>
      <c r="E57" s="167" t="s">
        <v>321</v>
      </c>
      <c r="F57" s="68"/>
    </row>
    <row r="58" spans="2:6" ht="15" customHeight="1" x14ac:dyDescent="0.2">
      <c r="B58" s="189" t="s">
        <v>324</v>
      </c>
      <c r="C58" s="160" t="s">
        <v>278</v>
      </c>
      <c r="D58" s="462">
        <v>8.4</v>
      </c>
      <c r="E58" s="167" t="s">
        <v>321</v>
      </c>
    </row>
    <row r="59" spans="2:6" ht="15" customHeight="1" x14ac:dyDescent="0.2">
      <c r="B59" s="189" t="s">
        <v>484</v>
      </c>
      <c r="C59" s="160" t="s">
        <v>191</v>
      </c>
      <c r="D59" s="462">
        <v>1.47</v>
      </c>
      <c r="E59" s="167" t="s">
        <v>373</v>
      </c>
    </row>
    <row r="60" spans="2:6" ht="15" customHeight="1" x14ac:dyDescent="0.2">
      <c r="B60" s="161" t="s">
        <v>460</v>
      </c>
      <c r="C60" s="160" t="s">
        <v>150</v>
      </c>
      <c r="D60" s="462">
        <v>16.66</v>
      </c>
      <c r="E60" s="167" t="s">
        <v>373</v>
      </c>
    </row>
    <row r="61" spans="2:6" ht="15" customHeight="1" x14ac:dyDescent="0.2">
      <c r="B61" s="161" t="s">
        <v>264</v>
      </c>
      <c r="C61" s="160" t="s">
        <v>191</v>
      </c>
      <c r="D61" s="462">
        <v>17.34</v>
      </c>
      <c r="E61" s="167" t="s">
        <v>373</v>
      </c>
    </row>
    <row r="62" spans="2:6" ht="15" customHeight="1" x14ac:dyDescent="0.2">
      <c r="B62" s="189" t="s">
        <v>392</v>
      </c>
      <c r="C62" s="160" t="s">
        <v>191</v>
      </c>
      <c r="D62" s="462">
        <v>0.18</v>
      </c>
      <c r="E62" s="167" t="s">
        <v>373</v>
      </c>
    </row>
    <row r="63" spans="2:6" ht="15" customHeight="1" x14ac:dyDescent="0.2">
      <c r="B63" s="189" t="s">
        <v>400</v>
      </c>
      <c r="C63" s="160" t="s">
        <v>191</v>
      </c>
      <c r="D63" s="462">
        <v>3.66</v>
      </c>
      <c r="E63" s="167" t="s">
        <v>328</v>
      </c>
    </row>
    <row r="64" spans="2:6" ht="15" customHeight="1" x14ac:dyDescent="0.2">
      <c r="B64" s="161" t="s">
        <v>64</v>
      </c>
      <c r="C64" s="160" t="s">
        <v>189</v>
      </c>
      <c r="D64" s="462">
        <v>15.41</v>
      </c>
      <c r="E64" s="167" t="s">
        <v>321</v>
      </c>
    </row>
    <row r="65" spans="2:5" ht="15" customHeight="1" x14ac:dyDescent="0.2">
      <c r="B65" s="161" t="s">
        <v>403</v>
      </c>
      <c r="C65" s="160" t="s">
        <v>189</v>
      </c>
      <c r="D65" s="462">
        <v>1.57</v>
      </c>
      <c r="E65" s="167" t="s">
        <v>373</v>
      </c>
    </row>
    <row r="66" spans="2:5" ht="15" customHeight="1" x14ac:dyDescent="0.2">
      <c r="B66" s="161" t="s">
        <v>265</v>
      </c>
      <c r="C66" s="160" t="s">
        <v>191</v>
      </c>
      <c r="D66" s="462">
        <v>20.77</v>
      </c>
      <c r="E66" s="167" t="s">
        <v>373</v>
      </c>
    </row>
    <row r="67" spans="2:5" ht="15" customHeight="1" x14ac:dyDescent="0.2">
      <c r="B67" s="161" t="s">
        <v>500</v>
      </c>
      <c r="C67" s="160" t="s">
        <v>191</v>
      </c>
      <c r="D67" s="462">
        <v>0.7</v>
      </c>
      <c r="E67" s="167" t="s">
        <v>321</v>
      </c>
    </row>
    <row r="68" spans="2:5" ht="15" customHeight="1" x14ac:dyDescent="0.2">
      <c r="B68" s="161" t="s">
        <v>405</v>
      </c>
      <c r="C68" s="160" t="s">
        <v>191</v>
      </c>
      <c r="D68" s="462">
        <v>2.04</v>
      </c>
      <c r="E68" s="167" t="s">
        <v>321</v>
      </c>
    </row>
    <row r="69" spans="2:5" ht="15" customHeight="1" x14ac:dyDescent="0.2">
      <c r="B69" s="161" t="s">
        <v>262</v>
      </c>
      <c r="C69" s="160" t="s">
        <v>191</v>
      </c>
      <c r="D69" s="462">
        <v>4.3099999999999996</v>
      </c>
      <c r="E69" s="167" t="s">
        <v>373</v>
      </c>
    </row>
    <row r="70" spans="2:5" ht="15" customHeight="1" x14ac:dyDescent="0.2">
      <c r="B70" s="189" t="s">
        <v>322</v>
      </c>
      <c r="C70" s="160" t="s">
        <v>278</v>
      </c>
      <c r="D70" s="462">
        <v>16.77</v>
      </c>
      <c r="E70" s="167" t="s">
        <v>373</v>
      </c>
    </row>
    <row r="71" spans="2:5" ht="15" customHeight="1" x14ac:dyDescent="0.2">
      <c r="B71" s="189" t="s">
        <v>323</v>
      </c>
      <c r="C71" s="160" t="s">
        <v>191</v>
      </c>
      <c r="D71" s="462">
        <v>0.46</v>
      </c>
      <c r="E71" s="167" t="s">
        <v>373</v>
      </c>
    </row>
    <row r="72" spans="2:5" ht="15" customHeight="1" x14ac:dyDescent="0.2">
      <c r="B72" s="161" t="s">
        <v>376</v>
      </c>
      <c r="C72" s="160" t="s">
        <v>191</v>
      </c>
      <c r="D72" s="462">
        <v>3.53</v>
      </c>
      <c r="E72" s="167" t="s">
        <v>373</v>
      </c>
    </row>
    <row r="73" spans="2:5" ht="15" customHeight="1" x14ac:dyDescent="0.2">
      <c r="B73" s="189" t="s">
        <v>464</v>
      </c>
      <c r="C73" s="160" t="s">
        <v>191</v>
      </c>
      <c r="D73" s="462">
        <v>0.24</v>
      </c>
      <c r="E73" s="167" t="s">
        <v>373</v>
      </c>
    </row>
    <row r="74" spans="2:5" ht="15" customHeight="1" x14ac:dyDescent="0.2">
      <c r="B74" s="189" t="s">
        <v>377</v>
      </c>
      <c r="C74" s="160" t="s">
        <v>191</v>
      </c>
      <c r="D74" s="462">
        <v>1.06</v>
      </c>
      <c r="E74" s="167" t="s">
        <v>328</v>
      </c>
    </row>
    <row r="75" spans="2:5" ht="15" customHeight="1" x14ac:dyDescent="0.2">
      <c r="B75" s="161" t="s">
        <v>159</v>
      </c>
      <c r="C75" s="160" t="s">
        <v>191</v>
      </c>
      <c r="D75" s="462">
        <v>1.78</v>
      </c>
      <c r="E75" s="167" t="s">
        <v>328</v>
      </c>
    </row>
    <row r="76" spans="2:5" ht="15" customHeight="1" x14ac:dyDescent="0.2">
      <c r="B76" s="189" t="s">
        <v>475</v>
      </c>
      <c r="C76" s="160" t="s">
        <v>191</v>
      </c>
      <c r="D76" s="462">
        <v>0.67</v>
      </c>
      <c r="E76" s="167" t="s">
        <v>373</v>
      </c>
    </row>
    <row r="77" spans="2:5" ht="15" customHeight="1" x14ac:dyDescent="0.2">
      <c r="B77" s="161"/>
      <c r="C77" s="160"/>
      <c r="D77" s="170"/>
      <c r="E77" s="167"/>
    </row>
    <row r="78" spans="2:5" s="197" customFormat="1" ht="15" customHeight="1" x14ac:dyDescent="0.2">
      <c r="B78" s="164" t="s">
        <v>360</v>
      </c>
      <c r="C78" s="160"/>
      <c r="D78" s="170"/>
      <c r="E78" s="167"/>
    </row>
    <row r="79" spans="2:5" s="197" customFormat="1" ht="15" customHeight="1" x14ac:dyDescent="0.2">
      <c r="B79" s="189" t="s">
        <v>365</v>
      </c>
      <c r="C79" s="311" t="s">
        <v>190</v>
      </c>
      <c r="D79" s="358">
        <v>20</v>
      </c>
      <c r="E79" s="167"/>
    </row>
    <row r="80" spans="2:5" s="197" customFormat="1" ht="15" customHeight="1" x14ac:dyDescent="0.2">
      <c r="B80" s="189" t="s">
        <v>366</v>
      </c>
      <c r="C80" s="311" t="s">
        <v>190</v>
      </c>
      <c r="D80" s="358">
        <v>16</v>
      </c>
      <c r="E80" s="167"/>
    </row>
    <row r="81" spans="2:5" s="197" customFormat="1" ht="15" customHeight="1" x14ac:dyDescent="0.2">
      <c r="B81" s="189" t="s">
        <v>367</v>
      </c>
      <c r="C81" s="311" t="s">
        <v>190</v>
      </c>
      <c r="D81" s="358">
        <v>17</v>
      </c>
      <c r="E81" s="167"/>
    </row>
    <row r="82" spans="2:5" s="197" customFormat="1" ht="15" customHeight="1" x14ac:dyDescent="0.2">
      <c r="B82" s="189" t="s">
        <v>368</v>
      </c>
      <c r="C82" s="311" t="s">
        <v>190</v>
      </c>
      <c r="D82" s="358">
        <v>16</v>
      </c>
      <c r="E82" s="167"/>
    </row>
    <row r="83" spans="2:5" s="197" customFormat="1" ht="15" customHeight="1" x14ac:dyDescent="0.2">
      <c r="B83" s="189" t="s">
        <v>356</v>
      </c>
      <c r="C83" s="311" t="s">
        <v>190</v>
      </c>
      <c r="D83" s="358">
        <v>7</v>
      </c>
      <c r="E83" s="167"/>
    </row>
    <row r="84" spans="2:5" s="197" customFormat="1" ht="15" customHeight="1" x14ac:dyDescent="0.2">
      <c r="B84" s="189" t="s">
        <v>369</v>
      </c>
      <c r="C84" s="311" t="s">
        <v>190</v>
      </c>
      <c r="D84" s="358">
        <v>22</v>
      </c>
      <c r="E84" s="167"/>
    </row>
    <row r="85" spans="2:5" s="401" customFormat="1" ht="15" customHeight="1" x14ac:dyDescent="0.2">
      <c r="B85" s="189" t="s">
        <v>407</v>
      </c>
      <c r="C85" s="311" t="s">
        <v>190</v>
      </c>
      <c r="D85" s="358">
        <v>20</v>
      </c>
      <c r="E85" s="167"/>
    </row>
    <row r="86" spans="2:5" s="197" customFormat="1" ht="15" customHeight="1" x14ac:dyDescent="0.2">
      <c r="B86" s="189" t="s">
        <v>370</v>
      </c>
      <c r="C86" s="311" t="s">
        <v>190</v>
      </c>
      <c r="D86" s="358">
        <v>22</v>
      </c>
      <c r="E86" s="167"/>
    </row>
    <row r="87" spans="2:5" s="197" customFormat="1" ht="15" customHeight="1" x14ac:dyDescent="0.2">
      <c r="B87" s="189" t="s">
        <v>211</v>
      </c>
      <c r="C87" s="311" t="s">
        <v>190</v>
      </c>
      <c r="D87" s="358">
        <v>22</v>
      </c>
      <c r="E87" s="167"/>
    </row>
    <row r="88" spans="2:5" s="197" customFormat="1" ht="15" customHeight="1" x14ac:dyDescent="0.2">
      <c r="B88" s="189" t="s">
        <v>371</v>
      </c>
      <c r="C88" s="311" t="s">
        <v>190</v>
      </c>
      <c r="D88" s="358">
        <v>18</v>
      </c>
      <c r="E88" s="167"/>
    </row>
    <row r="89" spans="2:5" s="197" customFormat="1" ht="15" customHeight="1" x14ac:dyDescent="0.2">
      <c r="B89" s="189" t="s">
        <v>372</v>
      </c>
      <c r="C89" s="311" t="s">
        <v>190</v>
      </c>
      <c r="D89" s="358">
        <v>20</v>
      </c>
      <c r="E89" s="167"/>
    </row>
    <row r="90" spans="2:5" s="197" customFormat="1" ht="15" customHeight="1" x14ac:dyDescent="0.2">
      <c r="B90" s="161"/>
      <c r="C90" s="160"/>
      <c r="D90" s="170"/>
      <c r="E90" s="167"/>
    </row>
    <row r="91" spans="2:5" ht="15" customHeight="1" x14ac:dyDescent="0.2">
      <c r="B91" s="164" t="s">
        <v>361</v>
      </c>
      <c r="C91" s="160"/>
      <c r="D91" s="170"/>
      <c r="E91" s="167"/>
    </row>
    <row r="92" spans="2:5" ht="15" customHeight="1" x14ac:dyDescent="0.2">
      <c r="B92" s="189" t="s">
        <v>332</v>
      </c>
      <c r="C92" s="160" t="s">
        <v>184</v>
      </c>
      <c r="D92" s="358">
        <v>20</v>
      </c>
      <c r="E92" s="167"/>
    </row>
    <row r="93" spans="2:5" s="197" customFormat="1" ht="15" customHeight="1" x14ac:dyDescent="0.2">
      <c r="B93" s="189" t="s">
        <v>331</v>
      </c>
      <c r="C93" s="311" t="s">
        <v>184</v>
      </c>
      <c r="D93" s="358">
        <v>17</v>
      </c>
      <c r="E93" s="167"/>
    </row>
    <row r="94" spans="2:5" ht="15" customHeight="1" x14ac:dyDescent="0.2">
      <c r="B94" s="161"/>
      <c r="C94" s="160"/>
      <c r="D94" s="170"/>
      <c r="E94" s="167"/>
    </row>
    <row r="95" spans="2:5" s="197" customFormat="1" ht="15" customHeight="1" x14ac:dyDescent="0.2">
      <c r="B95" s="164" t="s">
        <v>318</v>
      </c>
      <c r="C95" s="160"/>
      <c r="D95" s="170"/>
      <c r="E95" s="167"/>
    </row>
    <row r="96" spans="2:5" s="197" customFormat="1" ht="15" customHeight="1" x14ac:dyDescent="0.25">
      <c r="B96" s="189" t="s">
        <v>334</v>
      </c>
      <c r="C96" s="160" t="s">
        <v>186</v>
      </c>
      <c r="D96" s="476">
        <v>2.5000000000000001E-2</v>
      </c>
      <c r="E96" s="167"/>
    </row>
    <row r="97" spans="2:5" s="197" customFormat="1" ht="15" customHeight="1" x14ac:dyDescent="0.2">
      <c r="B97" s="161"/>
      <c r="C97" s="160"/>
      <c r="D97" s="170"/>
      <c r="E97" s="167"/>
    </row>
    <row r="98" spans="2:5" s="197" customFormat="1" ht="15" customHeight="1" x14ac:dyDescent="0.2">
      <c r="B98" s="164" t="s">
        <v>333</v>
      </c>
      <c r="C98" s="160"/>
      <c r="D98" s="170"/>
      <c r="E98" s="167"/>
    </row>
    <row r="99" spans="2:5" s="197" customFormat="1" ht="15" customHeight="1" x14ac:dyDescent="0.2">
      <c r="B99" s="189" t="s">
        <v>335</v>
      </c>
      <c r="C99" s="160" t="s">
        <v>186</v>
      </c>
      <c r="D99" s="475">
        <v>0.05</v>
      </c>
      <c r="E99" s="167"/>
    </row>
    <row r="100" spans="2:5" s="197" customFormat="1" ht="15" customHeight="1" x14ac:dyDescent="0.2">
      <c r="B100" s="161"/>
      <c r="C100" s="160"/>
      <c r="D100" s="360"/>
      <c r="E100" s="167"/>
    </row>
    <row r="101" spans="2:5" ht="15" customHeight="1" x14ac:dyDescent="0.2">
      <c r="B101" s="159" t="s">
        <v>122</v>
      </c>
      <c r="C101" s="160"/>
      <c r="D101" s="170"/>
      <c r="E101" s="167"/>
    </row>
    <row r="102" spans="2:5" ht="15" customHeight="1" x14ac:dyDescent="0.2">
      <c r="B102" s="161" t="s">
        <v>121</v>
      </c>
      <c r="C102" s="160" t="s">
        <v>190</v>
      </c>
      <c r="D102" s="358">
        <v>0</v>
      </c>
      <c r="E102" s="167"/>
    </row>
    <row r="103" spans="2:5" ht="15" customHeight="1" x14ac:dyDescent="0.2">
      <c r="B103" s="161"/>
      <c r="C103" s="160"/>
      <c r="D103" s="170"/>
      <c r="E103" s="167"/>
    </row>
    <row r="104" spans="2:5" ht="15" customHeight="1" x14ac:dyDescent="0.2">
      <c r="B104" s="161" t="s">
        <v>185</v>
      </c>
      <c r="C104" s="160" t="s">
        <v>186</v>
      </c>
      <c r="D104" s="359">
        <v>5.7500000000000002E-2</v>
      </c>
      <c r="E104" s="167"/>
    </row>
    <row r="105" spans="2:5" ht="15" customHeight="1" x14ac:dyDescent="0.2">
      <c r="B105" s="162" t="s">
        <v>115</v>
      </c>
      <c r="C105" s="163" t="s">
        <v>186</v>
      </c>
      <c r="D105" s="477">
        <v>0.06</v>
      </c>
      <c r="E105" s="169"/>
    </row>
    <row r="106" spans="2:5" s="197" customFormat="1" ht="14.25" x14ac:dyDescent="0.2">
      <c r="B106" s="68" t="s">
        <v>602</v>
      </c>
      <c r="C106" s="58"/>
      <c r="D106" s="98"/>
    </row>
    <row r="107" spans="2:5" s="400" customFormat="1" x14ac:dyDescent="0.2">
      <c r="B107" s="68" t="s">
        <v>601</v>
      </c>
      <c r="C107" s="58"/>
      <c r="D107" s="98"/>
    </row>
    <row r="108" spans="2:5" ht="14.25" x14ac:dyDescent="0.2">
      <c r="B108" s="68" t="s">
        <v>362</v>
      </c>
    </row>
    <row r="109" spans="2:5" ht="14.25" x14ac:dyDescent="0.2">
      <c r="B109" s="68" t="s">
        <v>363</v>
      </c>
    </row>
    <row r="110" spans="2:5" ht="14.25" x14ac:dyDescent="0.2">
      <c r="B110" s="68" t="s">
        <v>364</v>
      </c>
    </row>
    <row r="111" spans="2:5" x14ac:dyDescent="0.2">
      <c r="B111" t="s">
        <v>511</v>
      </c>
    </row>
    <row r="113" spans="1:239" s="92" customFormat="1" ht="15.75" x14ac:dyDescent="0.25">
      <c r="A113" s="230"/>
      <c r="B113" s="231"/>
      <c r="C113" s="231"/>
      <c r="D113" s="231"/>
      <c r="E113" s="328" t="s">
        <v>378</v>
      </c>
      <c r="F113" s="329"/>
      <c r="G113" s="330"/>
      <c r="H113" s="329"/>
      <c r="I113" s="330"/>
      <c r="J113" s="330"/>
      <c r="K113" s="330"/>
      <c r="L113" s="231"/>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230"/>
      <c r="AV113" s="230"/>
      <c r="AW113" s="230"/>
      <c r="AX113" s="230"/>
      <c r="AY113" s="230"/>
      <c r="AZ113" s="230"/>
      <c r="BA113" s="230"/>
      <c r="BB113" s="230"/>
      <c r="BC113" s="230"/>
      <c r="BD113" s="230"/>
      <c r="BE113" s="230"/>
      <c r="BF113" s="230"/>
      <c r="BG113" s="230"/>
      <c r="BH113" s="230"/>
      <c r="BI113" s="230"/>
      <c r="BJ113" s="230"/>
      <c r="BK113" s="230"/>
      <c r="BL113" s="230"/>
      <c r="BM113" s="230"/>
      <c r="BN113" s="230"/>
      <c r="BO113" s="230"/>
      <c r="BP113" s="230"/>
      <c r="BQ113" s="230"/>
      <c r="BR113" s="230"/>
      <c r="BS113" s="230"/>
      <c r="BT113" s="230"/>
      <c r="BU113" s="230"/>
      <c r="BV113" s="230"/>
      <c r="BW113" s="230"/>
      <c r="BX113" s="230"/>
      <c r="BY113" s="230"/>
      <c r="BZ113" s="230"/>
      <c r="CA113" s="230"/>
      <c r="CB113" s="230"/>
      <c r="CC113" s="230"/>
      <c r="CD113" s="230"/>
      <c r="CE113" s="230"/>
      <c r="CF113" s="230"/>
      <c r="CG113" s="230"/>
      <c r="CH113" s="230"/>
      <c r="CI113" s="230"/>
      <c r="CJ113" s="230"/>
      <c r="CK113" s="230"/>
      <c r="CL113" s="230"/>
      <c r="CM113" s="230"/>
      <c r="CN113" s="230"/>
      <c r="CO113" s="230"/>
      <c r="CP113" s="230"/>
      <c r="CQ113" s="230"/>
      <c r="CR113" s="230"/>
      <c r="CS113" s="230"/>
      <c r="CT113" s="230"/>
      <c r="CU113" s="230"/>
      <c r="CV113" s="230"/>
      <c r="CW113" s="230"/>
      <c r="CX113" s="230"/>
      <c r="CY113" s="230"/>
      <c r="CZ113" s="230"/>
      <c r="DA113" s="230"/>
      <c r="DB113" s="230"/>
      <c r="DC113" s="230"/>
      <c r="DD113" s="230"/>
      <c r="DE113" s="230"/>
      <c r="DF113" s="230"/>
      <c r="DG113" s="230"/>
      <c r="DH113" s="230"/>
      <c r="DI113" s="230"/>
      <c r="DJ113" s="230"/>
      <c r="DK113" s="230"/>
      <c r="DL113" s="230"/>
      <c r="DM113" s="230"/>
      <c r="DN113" s="230"/>
      <c r="DO113" s="230"/>
      <c r="DP113" s="230"/>
      <c r="DQ113" s="230"/>
      <c r="DR113" s="230"/>
      <c r="DS113" s="230"/>
      <c r="DT113" s="230"/>
      <c r="DU113" s="230"/>
      <c r="DV113" s="230"/>
      <c r="DW113" s="230"/>
      <c r="DX113" s="230"/>
      <c r="DY113" s="230"/>
      <c r="DZ113" s="230"/>
      <c r="EA113" s="230"/>
      <c r="EB113" s="230"/>
      <c r="EC113" s="230"/>
      <c r="ED113" s="230"/>
      <c r="EE113" s="230"/>
      <c r="EF113" s="230"/>
      <c r="EG113" s="230"/>
      <c r="EH113" s="230"/>
      <c r="EI113" s="230"/>
      <c r="EJ113" s="230"/>
      <c r="EK113" s="230"/>
      <c r="EL113" s="230"/>
      <c r="EM113" s="230"/>
      <c r="EN113" s="230"/>
      <c r="EO113" s="230"/>
      <c r="EP113" s="230"/>
      <c r="EQ113" s="230"/>
      <c r="ER113" s="230"/>
      <c r="ES113" s="230"/>
      <c r="ET113" s="230"/>
      <c r="EU113" s="230"/>
      <c r="EV113" s="230"/>
      <c r="EW113" s="230"/>
      <c r="EX113" s="230"/>
      <c r="EY113" s="230"/>
      <c r="EZ113" s="230"/>
      <c r="FA113" s="230"/>
      <c r="FB113" s="230"/>
      <c r="FC113" s="230"/>
      <c r="FD113" s="230"/>
      <c r="FE113" s="230"/>
      <c r="FF113" s="230"/>
      <c r="FG113" s="230"/>
      <c r="FH113" s="230"/>
      <c r="FI113" s="230"/>
      <c r="FJ113" s="230"/>
      <c r="FK113" s="230"/>
      <c r="FL113" s="230"/>
      <c r="FM113" s="230"/>
      <c r="FN113" s="230"/>
      <c r="FO113" s="230"/>
      <c r="FP113" s="230"/>
      <c r="FQ113" s="230"/>
      <c r="FR113" s="230"/>
      <c r="FS113" s="230"/>
      <c r="FT113" s="230"/>
      <c r="FU113" s="230"/>
      <c r="FV113" s="230"/>
      <c r="FW113" s="230"/>
      <c r="FX113" s="230"/>
      <c r="FY113" s="230"/>
      <c r="FZ113" s="230"/>
      <c r="GA113" s="230"/>
      <c r="GB113" s="230"/>
      <c r="GC113" s="230"/>
      <c r="GD113" s="230"/>
      <c r="GE113" s="230"/>
      <c r="GF113" s="230"/>
      <c r="GG113" s="230"/>
      <c r="GH113" s="230"/>
      <c r="GI113" s="230"/>
      <c r="GJ113" s="230"/>
      <c r="GK113" s="230"/>
      <c r="GL113" s="230"/>
      <c r="GM113" s="230"/>
      <c r="GN113" s="230"/>
      <c r="GO113" s="230"/>
      <c r="GP113" s="230"/>
      <c r="GQ113" s="230"/>
      <c r="GR113" s="230"/>
      <c r="GS113" s="230"/>
      <c r="GT113" s="230"/>
      <c r="GU113" s="230"/>
      <c r="GV113" s="230"/>
      <c r="GW113" s="230"/>
      <c r="GX113" s="230"/>
      <c r="GY113" s="230"/>
      <c r="GZ113" s="230"/>
      <c r="HA113" s="230"/>
      <c r="HB113" s="230"/>
      <c r="HC113" s="230"/>
      <c r="HD113" s="230"/>
      <c r="HE113" s="230"/>
      <c r="HF113" s="230"/>
      <c r="HG113" s="230"/>
      <c r="HH113" s="230"/>
      <c r="HI113" s="230"/>
      <c r="HJ113" s="230"/>
      <c r="HK113" s="230"/>
      <c r="HL113" s="230"/>
      <c r="HM113" s="230"/>
      <c r="HN113" s="230"/>
      <c r="HO113" s="230"/>
      <c r="HP113" s="230"/>
      <c r="HQ113" s="230"/>
      <c r="HR113" s="230"/>
      <c r="HS113" s="230"/>
      <c r="HT113" s="230"/>
      <c r="HU113" s="230"/>
      <c r="HV113" s="230"/>
      <c r="HW113" s="230"/>
      <c r="HX113" s="230"/>
      <c r="HY113" s="230"/>
      <c r="HZ113" s="230"/>
      <c r="IA113" s="230"/>
      <c r="IB113" s="230"/>
      <c r="IC113" s="230"/>
      <c r="ID113" s="230"/>
      <c r="IE113" s="230"/>
    </row>
    <row r="114" spans="1:239" s="338" customFormat="1" ht="14.25" x14ac:dyDescent="0.2">
      <c r="D114" s="403"/>
      <c r="E114" s="321" t="s">
        <v>14</v>
      </c>
      <c r="F114" s="321"/>
      <c r="G114" s="404"/>
      <c r="H114" s="404"/>
    </row>
    <row r="115" spans="1:239" s="338" customFormat="1" ht="14.25" x14ac:dyDescent="0.2">
      <c r="D115" s="403"/>
      <c r="E115" s="321" t="s">
        <v>15</v>
      </c>
      <c r="F115" s="321"/>
      <c r="G115" s="404"/>
      <c r="H115" s="404"/>
    </row>
    <row r="116" spans="1:239" s="338" customFormat="1" ht="14.25" x14ac:dyDescent="0.2">
      <c r="D116" s="403"/>
      <c r="E116" s="196" t="s">
        <v>421</v>
      </c>
      <c r="F116" s="415"/>
      <c r="G116" s="404"/>
      <c r="H116" s="404"/>
    </row>
    <row r="117" spans="1:239" s="338" customFormat="1" ht="14.25" x14ac:dyDescent="0.2">
      <c r="D117" s="403"/>
      <c r="E117" s="321" t="s">
        <v>349</v>
      </c>
      <c r="F117" s="321"/>
      <c r="G117" s="404"/>
      <c r="H117" s="404"/>
    </row>
    <row r="118" spans="1:239" s="338" customFormat="1" ht="14.25" x14ac:dyDescent="0.2">
      <c r="D118" s="403"/>
      <c r="E118" s="321" t="s">
        <v>356</v>
      </c>
      <c r="F118" s="321"/>
      <c r="G118" s="404"/>
      <c r="H118" s="404"/>
    </row>
    <row r="119" spans="1:239" s="338" customFormat="1" ht="13.5" customHeight="1" x14ac:dyDescent="0.2">
      <c r="D119" s="403"/>
      <c r="E119" s="321" t="s">
        <v>138</v>
      </c>
      <c r="F119" s="321"/>
      <c r="G119" s="404"/>
      <c r="H119" s="404"/>
    </row>
    <row r="120" spans="1:239" s="338" customFormat="1" ht="14.25" x14ac:dyDescent="0.2">
      <c r="D120" s="403"/>
      <c r="E120" s="321" t="s">
        <v>17</v>
      </c>
      <c r="F120" s="321"/>
      <c r="G120" s="404"/>
      <c r="H120" s="404"/>
    </row>
    <row r="121" spans="1:239" s="338" customFormat="1" ht="14.25" x14ac:dyDescent="0.2">
      <c r="D121" s="403"/>
      <c r="E121" s="321" t="s">
        <v>401</v>
      </c>
      <c r="F121" s="321"/>
      <c r="G121" s="404"/>
      <c r="H121" s="404"/>
    </row>
    <row r="122" spans="1:239" s="338" customFormat="1" ht="14.25" x14ac:dyDescent="0.2">
      <c r="D122" s="403"/>
      <c r="E122" s="321" t="s">
        <v>211</v>
      </c>
      <c r="F122" s="321"/>
      <c r="G122" s="404"/>
      <c r="H122" s="404"/>
    </row>
    <row r="123" spans="1:239" s="338" customFormat="1" ht="14.25" x14ac:dyDescent="0.2">
      <c r="D123" s="403"/>
      <c r="E123" s="321" t="s">
        <v>6</v>
      </c>
      <c r="F123" s="321"/>
      <c r="G123" s="404"/>
      <c r="H123" s="404"/>
    </row>
    <row r="124" spans="1:239" s="86" customFormat="1" ht="14.25" x14ac:dyDescent="0.2">
      <c r="A124" s="338"/>
      <c r="B124" s="338"/>
      <c r="C124" s="338"/>
      <c r="D124" s="404"/>
      <c r="E124" s="321" t="s">
        <v>410</v>
      </c>
      <c r="F124" s="321"/>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338"/>
    </row>
    <row r="125" spans="1:239" s="338" customFormat="1" ht="14.25" x14ac:dyDescent="0.2">
      <c r="D125" s="403"/>
      <c r="E125" s="321" t="s">
        <v>359</v>
      </c>
      <c r="F125" s="416"/>
      <c r="G125" s="404"/>
      <c r="H125" s="404"/>
    </row>
    <row r="126" spans="1:239" x14ac:dyDescent="0.2">
      <c r="E126" s="321" t="s">
        <v>357</v>
      </c>
      <c r="F126" s="321"/>
    </row>
  </sheetData>
  <mergeCells count="1">
    <mergeCell ref="B8:E8"/>
  </mergeCells>
  <phoneticPr fontId="7" type="noConversion"/>
  <hyperlinks>
    <hyperlink ref="D114:H114" location="'Soft White Winter Wheat'!A1" display="EBB1-SWW-09 "/>
    <hyperlink ref="D115:H115" location="'Soft White Spring Wheat'!A1" display="EBB1-SSW-09 "/>
    <hyperlink ref="D116:H116" location="'Hard Red Spring Wheat'!A1" display="EBB1-HRS-09 "/>
    <hyperlink ref="D117:H117" location="'Spring Barley'!A1" display="EBB1-FB-09 "/>
    <hyperlink ref="D119:H119" location="'Spring Lentils'!A1" display="EBB1-Len-09 "/>
    <hyperlink ref="D120:H120" location="'Spring Peas'!A1" display="EBB1-SP-09 "/>
    <hyperlink ref="D122:H122" location="Garbanzos!A1" display="EBB1-Garb-09 "/>
    <hyperlink ref="D123:H123" location="'Spring Canola'!A1" display="EBB1-SC-09 "/>
    <hyperlink ref="D117:E117" location="'Feed Barley'!A1" display="EBB1-FB-09 "/>
    <hyperlink ref="D119:E119" location="'Spring Lentils'!A1" display="EBB1-Len-09 "/>
    <hyperlink ref="D120:E120" location="'Spring Peas'!A1" display="EBB1-SP-09 "/>
    <hyperlink ref="D122:E122" location="Garbanzos!A1" display="EBB1-Garb-09 "/>
    <hyperlink ref="D117:F117" location="'Feed Barley'!A1" display="EBB1-FB-09 "/>
    <hyperlink ref="D119:F119" location="'Spring Lentils'!A1" display="EBB1-Len-09 "/>
    <hyperlink ref="D120:F120" location="'Spring Peas'!A1" display="EBB1-SP-09 "/>
    <hyperlink ref="D122:F122" location="Garbanzos!A1" display="EBB1-Garb-09 "/>
    <hyperlink ref="E114:F114" location="'Soft White Winter Wheat'!A1" display="EBB1-SWW-09 "/>
    <hyperlink ref="E115:F115" location="'Soft White Spring Wheat'!A1" display="EBB1-SSW-09 "/>
    <hyperlink ref="E117:F117" location="'Feed Barley'!A1" display="EBB1-FB-09 "/>
    <hyperlink ref="E119:F119" location="'Spring Lentils'!A1" display="EBB1-Len-09 "/>
    <hyperlink ref="E120:F120" location="'Spring Peas'!A1" display="EBB1-SP-09 "/>
    <hyperlink ref="E122:F122" location="Garbanzos!A1" display="EBB1-Garb-09 "/>
    <hyperlink ref="E123:F123" location="'Spring Canola'!A1" display="EBB1-SC-09 "/>
    <hyperlink ref="E117" location="'Feed Barley'!A1" display="EBB1-FB-09 "/>
    <hyperlink ref="E119" location="'Spring Lentils'!A1" display="EBB1-Len-09 "/>
    <hyperlink ref="E120" location="'Spring Peas'!A1" display="EBB1-SP-09 "/>
    <hyperlink ref="E122" location="Garbanzos!A1" display="EBB1-Garb-09 "/>
    <hyperlink ref="F118" location="Oats!A1" display="Oats"/>
    <hyperlink ref="E114" location="'Soft White Winter Wheat'!A1" display="EBB1-SWW-09 "/>
    <hyperlink ref="E115" location="'Soft White Spring Wheat'!A1" display="EBB1-SSW-09 "/>
    <hyperlink ref="E123" location="'Spring Canola'!A1" display="EBB1-SC-09 "/>
    <hyperlink ref="E118" location="Oats!A1" display="Oats"/>
    <hyperlink ref="E125" location="'Yellow Mustard'!A1" display="Yellow Mustard"/>
    <hyperlink ref="E126" location="'Summer Fallow'!A1" display="Summer Fallow"/>
    <hyperlink ref="E121:F121" location="'Austrian Winter Peas'!A1" display="Austrian Winter Peas"/>
    <hyperlink ref="E124" location="Camelina!A1" display="Camelina"/>
    <hyperlink ref="E116:F116" location="'Dark Northern Spring Wheat'!A1" display="Dark Northern Spring Wheat"/>
  </hyperlinks>
  <printOptions horizontalCentered="1"/>
  <pageMargins left="0.75" right="0.75" top="1" bottom="1" header="0" footer="0.5"/>
  <pageSetup scale="82" orientation="portrait" r:id="rId1"/>
  <headerFooter alignWithMargins="0">
    <oddFooter>&amp;L&amp;A&amp;C&amp;F&amp;R&amp;D</oddFooter>
  </headerFooter>
  <rowBreaks count="1" manualBreakCount="1">
    <brk id="46" min="1"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44"/>
  <sheetViews>
    <sheetView topLeftCell="A82" zoomScaleNormal="100" workbookViewId="0">
      <selection activeCell="O88" sqref="O88"/>
    </sheetView>
  </sheetViews>
  <sheetFormatPr defaultColWidth="8.7109375" defaultRowHeight="12.75" x14ac:dyDescent="0.2"/>
  <cols>
    <col min="1" max="1" width="3.140625" style="40" customWidth="1"/>
    <col min="2" max="2" width="28.425781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ht="15.75" x14ac:dyDescent="0.25">
      <c r="A1" s="373"/>
      <c r="B1" s="56"/>
      <c r="C1" s="56"/>
      <c r="D1" s="76" t="s">
        <v>503</v>
      </c>
      <c r="E1" s="56"/>
      <c r="F1" s="57">
        <v>2300</v>
      </c>
      <c r="G1" s="56"/>
      <c r="H1" s="76"/>
      <c r="I1" s="56"/>
      <c r="J1" s="56"/>
    </row>
    <row r="2" spans="1:44" s="40" customFormat="1" ht="18" customHeight="1" x14ac:dyDescent="0.2">
      <c r="A2" s="374"/>
      <c r="B2" s="327" t="s">
        <v>49</v>
      </c>
      <c r="C2" s="56"/>
      <c r="D2" s="76"/>
      <c r="E2" s="56"/>
      <c r="F2" s="57"/>
      <c r="G2" s="56"/>
      <c r="H2" s="76"/>
      <c r="I2" s="56"/>
      <c r="J2" s="56"/>
    </row>
    <row r="3" spans="1:44" s="40" customFormat="1" x14ac:dyDescent="0.2">
      <c r="A3" s="374"/>
      <c r="B3" s="560" t="s">
        <v>383</v>
      </c>
      <c r="C3" s="560"/>
      <c r="D3" s="560"/>
      <c r="E3" s="560"/>
      <c r="F3" s="560"/>
      <c r="G3" s="560"/>
      <c r="H3" s="560"/>
      <c r="I3" s="560"/>
      <c r="J3" s="560"/>
    </row>
    <row r="4" spans="1:44" s="81" customFormat="1" ht="14.25" x14ac:dyDescent="0.2">
      <c r="A4" s="188"/>
      <c r="B4" s="375" t="s">
        <v>380</v>
      </c>
      <c r="C4" s="376"/>
      <c r="D4" s="376"/>
      <c r="E4" s="376"/>
      <c r="F4" s="376"/>
      <c r="G4" s="376"/>
      <c r="H4" s="376"/>
      <c r="I4" s="376"/>
      <c r="J4" s="377"/>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1"/>
      <c r="B5" s="378" t="s">
        <v>387</v>
      </c>
      <c r="C5" s="378"/>
      <c r="D5" s="378"/>
      <c r="E5" s="378"/>
      <c r="F5" s="378"/>
      <c r="G5" s="378"/>
      <c r="H5" s="378"/>
      <c r="I5" s="378"/>
      <c r="J5" s="378"/>
    </row>
    <row r="6" spans="1:44" s="40" customFormat="1" x14ac:dyDescent="0.2">
      <c r="A6" s="321"/>
      <c r="B6" s="561" t="s">
        <v>386</v>
      </c>
      <c r="C6" s="561"/>
      <c r="D6" s="561"/>
      <c r="E6" s="561"/>
      <c r="F6" s="561"/>
      <c r="G6" s="561"/>
      <c r="H6" s="561"/>
      <c r="I6" s="561"/>
      <c r="J6" s="561"/>
    </row>
    <row r="7" spans="1:44" s="40" customFormat="1" ht="5.25" customHeight="1" x14ac:dyDescent="0.2">
      <c r="A7" s="321"/>
      <c r="D7" s="58"/>
      <c r="F7" s="41"/>
      <c r="H7" s="58"/>
    </row>
    <row r="8" spans="1:44" s="92" customFormat="1" ht="31.5" customHeight="1" x14ac:dyDescent="0.25">
      <c r="A8" s="321"/>
      <c r="B8" s="566" t="s">
        <v>522</v>
      </c>
      <c r="C8" s="567"/>
      <c r="D8" s="567"/>
      <c r="E8" s="567"/>
      <c r="F8" s="567"/>
      <c r="G8" s="567"/>
      <c r="H8" s="567"/>
      <c r="I8" s="567"/>
      <c r="J8" s="567"/>
      <c r="K8" s="567"/>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321"/>
      <c r="B9" s="171"/>
      <c r="C9" s="171"/>
      <c r="D9" s="172"/>
      <c r="E9" s="171"/>
      <c r="F9" s="173"/>
      <c r="G9" s="171"/>
      <c r="H9" s="172"/>
      <c r="I9" s="171"/>
      <c r="J9" s="171"/>
      <c r="K9" s="171"/>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407"/>
      <c r="C10" s="407"/>
      <c r="D10" s="408" t="s">
        <v>249</v>
      </c>
      <c r="E10" s="408"/>
      <c r="F10" s="409"/>
      <c r="G10" s="408"/>
      <c r="H10" s="408" t="s">
        <v>250</v>
      </c>
      <c r="I10" s="408"/>
      <c r="J10" s="408" t="s">
        <v>251</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410" t="s">
        <v>252</v>
      </c>
      <c r="C11" s="407"/>
      <c r="D11" s="408" t="s">
        <v>156</v>
      </c>
      <c r="E11" s="408"/>
      <c r="F11" s="409" t="s">
        <v>157</v>
      </c>
      <c r="G11" s="408"/>
      <c r="H11" s="408" t="s">
        <v>5</v>
      </c>
      <c r="I11" s="408"/>
      <c r="J11" s="408" t="s">
        <v>198</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411"/>
      <c r="C12" s="412"/>
      <c r="D12" s="411"/>
      <c r="E12" s="412"/>
      <c r="F12" s="413"/>
      <c r="G12" s="412"/>
      <c r="H12" s="411"/>
      <c r="I12" s="412"/>
      <c r="J12" s="412"/>
      <c r="K12" s="1"/>
    </row>
    <row r="13" spans="1:44" x14ac:dyDescent="0.2">
      <c r="B13" s="6" t="s">
        <v>199</v>
      </c>
      <c r="C13" s="7"/>
      <c r="D13" s="44"/>
      <c r="E13" s="7"/>
      <c r="F13" s="8"/>
      <c r="G13" s="7"/>
      <c r="H13" s="44"/>
      <c r="I13" s="7"/>
      <c r="J13" s="9"/>
    </row>
    <row r="14" spans="1:44" x14ac:dyDescent="0.2">
      <c r="B14" s="10" t="s">
        <v>255</v>
      </c>
      <c r="C14" s="11"/>
      <c r="D14" s="363">
        <f>yww</f>
        <v>80</v>
      </c>
      <c r="E14" s="11"/>
      <c r="F14" s="12" t="s">
        <v>256</v>
      </c>
      <c r="G14" s="11"/>
      <c r="H14" s="364">
        <f>pww</f>
        <v>3.61</v>
      </c>
      <c r="I14" s="11"/>
      <c r="J14" s="13">
        <f>D14*H14</f>
        <v>288.8</v>
      </c>
      <c r="K14" s="14"/>
      <c r="M14" s="565"/>
      <c r="N14" s="565"/>
      <c r="O14" s="565"/>
      <c r="P14" s="565"/>
      <c r="Q14" s="565"/>
    </row>
    <row r="15" spans="1:44" ht="3.75" customHeight="1" x14ac:dyDescent="0.2">
      <c r="B15" s="11"/>
      <c r="C15" s="11"/>
      <c r="D15" s="72"/>
      <c r="E15" s="11"/>
      <c r="F15" s="15"/>
      <c r="G15" s="11"/>
      <c r="H15" s="77"/>
      <c r="I15" s="11"/>
      <c r="J15" s="13"/>
      <c r="K15" s="14"/>
      <c r="M15" s="564"/>
      <c r="N15" s="564"/>
      <c r="O15" s="564"/>
      <c r="P15" s="564"/>
      <c r="Q15" s="564"/>
      <c r="R15" s="564"/>
    </row>
    <row r="16" spans="1:44" x14ac:dyDescent="0.2">
      <c r="B16" s="6" t="s">
        <v>167</v>
      </c>
      <c r="C16" s="7"/>
      <c r="D16" s="44"/>
      <c r="E16" s="7"/>
      <c r="F16" s="8"/>
      <c r="G16" s="7"/>
      <c r="H16" s="61"/>
      <c r="I16" s="7"/>
      <c r="J16" s="16"/>
    </row>
    <row r="17" spans="1:33" ht="5.0999999999999996" customHeight="1" x14ac:dyDescent="0.2">
      <c r="B17" s="7"/>
      <c r="C17" s="7"/>
      <c r="D17" s="44"/>
      <c r="E17" s="7"/>
      <c r="F17" s="8"/>
      <c r="G17" s="7"/>
      <c r="H17" s="61"/>
      <c r="I17" s="7"/>
      <c r="J17" s="16"/>
    </row>
    <row r="18" spans="1:33" ht="13.5" customHeight="1" x14ac:dyDescent="0.25">
      <c r="B18" s="52" t="s">
        <v>200</v>
      </c>
      <c r="C18" s="7"/>
      <c r="D18" s="66"/>
      <c r="E18" s="7"/>
      <c r="F18" s="8"/>
      <c r="G18" s="7"/>
      <c r="H18" s="61"/>
      <c r="I18" s="7"/>
      <c r="J18" s="325">
        <f>SUM(J19:J19)</f>
        <v>23.400000000000002</v>
      </c>
    </row>
    <row r="19" spans="1:33" x14ac:dyDescent="0.2">
      <c r="B19" s="18" t="s">
        <v>257</v>
      </c>
      <c r="C19" s="7"/>
      <c r="D19" s="361">
        <v>90</v>
      </c>
      <c r="E19" s="7"/>
      <c r="F19" s="19" t="s">
        <v>189</v>
      </c>
      <c r="G19" s="7"/>
      <c r="H19" s="356">
        <f>SWWWSd</f>
        <v>0.26</v>
      </c>
      <c r="I19" s="7"/>
      <c r="J19" s="16">
        <f>D19*H19</f>
        <v>23.400000000000002</v>
      </c>
    </row>
    <row r="20" spans="1:33" ht="5.0999999999999996" customHeight="1" x14ac:dyDescent="0.2">
      <c r="B20" s="7"/>
      <c r="C20" s="7"/>
      <c r="D20" s="44"/>
      <c r="E20" s="7"/>
      <c r="F20" s="8"/>
      <c r="G20" s="7"/>
      <c r="H20" s="70"/>
      <c r="I20" s="7"/>
      <c r="J20" s="16"/>
    </row>
    <row r="21" spans="1:33" x14ac:dyDescent="0.2">
      <c r="B21" s="52" t="s">
        <v>345</v>
      </c>
      <c r="C21" s="7"/>
      <c r="D21" s="44"/>
      <c r="E21" s="7"/>
      <c r="F21" s="8"/>
      <c r="G21" s="7"/>
      <c r="H21" s="70"/>
      <c r="I21" s="7"/>
      <c r="J21" s="325">
        <f>SUM(J24:J26)</f>
        <v>79.699999999999989</v>
      </c>
      <c r="M21" s="42"/>
    </row>
    <row r="22" spans="1:33" s="50" customFormat="1" x14ac:dyDescent="0.2">
      <c r="A22" s="68"/>
      <c r="B22" s="315" t="s">
        <v>343</v>
      </c>
      <c r="C22" s="69"/>
      <c r="D22" s="75"/>
      <c r="E22" s="69"/>
      <c r="F22" s="70"/>
      <c r="G22" s="69"/>
      <c r="H22" s="316"/>
      <c r="I22" s="69"/>
      <c r="J22" s="317"/>
      <c r="L22" s="68"/>
      <c r="M22" s="318"/>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5" t="s">
        <v>344</v>
      </c>
      <c r="C23" s="69"/>
      <c r="D23" s="75"/>
      <c r="E23" s="69"/>
      <c r="F23" s="70"/>
      <c r="G23" s="69"/>
      <c r="H23" s="316"/>
      <c r="I23" s="69"/>
      <c r="J23" s="317"/>
      <c r="L23" s="68"/>
      <c r="M23" s="318"/>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417</v>
      </c>
      <c r="C24" s="7"/>
      <c r="D24" s="361">
        <v>90</v>
      </c>
      <c r="E24" s="7"/>
      <c r="F24" s="19" t="s">
        <v>189</v>
      </c>
      <c r="G24" s="7"/>
      <c r="H24" s="356">
        <f>Nitrogen</f>
        <v>0.59</v>
      </c>
      <c r="I24" s="7"/>
      <c r="J24" s="20">
        <f>D24*H24</f>
        <v>53.099999999999994</v>
      </c>
    </row>
    <row r="25" spans="1:33" x14ac:dyDescent="0.2">
      <c r="B25" s="55" t="s">
        <v>399</v>
      </c>
      <c r="C25" s="7"/>
      <c r="D25" s="361">
        <v>30</v>
      </c>
      <c r="E25" s="7"/>
      <c r="F25" s="19" t="s">
        <v>189</v>
      </c>
      <c r="G25" s="7"/>
      <c r="H25" s="356">
        <f>Phosphorous</f>
        <v>0.71</v>
      </c>
      <c r="I25" s="7"/>
      <c r="J25" s="20">
        <f>D25*H25</f>
        <v>21.299999999999997</v>
      </c>
    </row>
    <row r="26" spans="1:33" x14ac:dyDescent="0.2">
      <c r="B26" s="55" t="s">
        <v>418</v>
      </c>
      <c r="C26" s="7"/>
      <c r="D26" s="361">
        <v>10</v>
      </c>
      <c r="E26" s="7"/>
      <c r="F26" s="19" t="s">
        <v>189</v>
      </c>
      <c r="G26" s="7"/>
      <c r="H26" s="356">
        <f>Sulfur</f>
        <v>0.53</v>
      </c>
      <c r="I26" s="7"/>
      <c r="J26" s="16">
        <f>D26*H26</f>
        <v>5.3000000000000007</v>
      </c>
    </row>
    <row r="27" spans="1:33" ht="5.0999999999999996" customHeight="1" x14ac:dyDescent="0.2">
      <c r="B27" s="7"/>
      <c r="C27" s="7"/>
      <c r="D27" s="44"/>
      <c r="E27" s="7"/>
      <c r="F27" s="8"/>
      <c r="G27" s="7"/>
      <c r="H27" s="61"/>
      <c r="I27" s="7"/>
      <c r="J27" s="20"/>
    </row>
    <row r="28" spans="1:33" ht="15" customHeight="1" x14ac:dyDescent="0.2">
      <c r="B28" s="52" t="s">
        <v>181</v>
      </c>
      <c r="C28" s="7"/>
      <c r="D28" s="44"/>
      <c r="E28" s="7"/>
      <c r="F28" s="8"/>
      <c r="G28" s="7"/>
      <c r="H28" s="61"/>
      <c r="I28" s="7"/>
      <c r="J28" s="324">
        <f>SUM(J32:J35)</f>
        <v>36.556499999999993</v>
      </c>
    </row>
    <row r="29" spans="1:33" s="50" customFormat="1" x14ac:dyDescent="0.2">
      <c r="A29" s="68"/>
      <c r="B29" s="315" t="s">
        <v>346</v>
      </c>
      <c r="C29" s="69"/>
      <c r="D29" s="75"/>
      <c r="E29" s="69"/>
      <c r="F29" s="70"/>
      <c r="G29" s="69"/>
      <c r="H29" s="316"/>
      <c r="I29" s="69"/>
      <c r="J29" s="319"/>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5" t="s">
        <v>347</v>
      </c>
      <c r="C30" s="69"/>
      <c r="D30" s="75"/>
      <c r="E30" s="69"/>
      <c r="F30" s="70"/>
      <c r="G30" s="69"/>
      <c r="H30" s="316"/>
      <c r="I30" s="69"/>
      <c r="J30" s="319"/>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5" t="s">
        <v>348</v>
      </c>
      <c r="C31" s="69"/>
      <c r="D31" s="75"/>
      <c r="E31" s="69"/>
      <c r="F31" s="70"/>
      <c r="G31" s="69"/>
      <c r="H31" s="316"/>
      <c r="I31" s="69"/>
      <c r="J31" s="319"/>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55" t="s">
        <v>262</v>
      </c>
      <c r="C32" s="7"/>
      <c r="D32" s="357">
        <v>4.75</v>
      </c>
      <c r="E32" s="7"/>
      <c r="F32" s="19" t="s">
        <v>191</v>
      </c>
      <c r="G32" s="7"/>
      <c r="H32" s="356">
        <f>Osprey</f>
        <v>4.3099999999999996</v>
      </c>
      <c r="I32" s="7"/>
      <c r="J32" s="20">
        <f>D32*H32</f>
        <v>20.472499999999997</v>
      </c>
    </row>
    <row r="33" spans="2:12" x14ac:dyDescent="0.2">
      <c r="B33" s="55" t="s">
        <v>475</v>
      </c>
      <c r="C33" s="7"/>
      <c r="D33" s="357">
        <v>22</v>
      </c>
      <c r="E33" s="7"/>
      <c r="F33" s="19" t="s">
        <v>191</v>
      </c>
      <c r="G33" s="7"/>
      <c r="H33" s="356">
        <f>Starane</f>
        <v>0.67</v>
      </c>
      <c r="I33" s="7"/>
      <c r="J33" s="20">
        <f>D33*H33</f>
        <v>14.74</v>
      </c>
    </row>
    <row r="34" spans="2:12" x14ac:dyDescent="0.2">
      <c r="B34" s="55" t="s">
        <v>277</v>
      </c>
      <c r="C34" s="7"/>
      <c r="D34" s="357">
        <v>3.2</v>
      </c>
      <c r="E34" s="7"/>
      <c r="F34" s="19" t="s">
        <v>191</v>
      </c>
      <c r="G34" s="7"/>
      <c r="H34" s="356">
        <f>surf</f>
        <v>0.23</v>
      </c>
      <c r="I34" s="7"/>
      <c r="J34" s="20">
        <f>D34*H34</f>
        <v>0.7360000000000001</v>
      </c>
    </row>
    <row r="35" spans="2:12" x14ac:dyDescent="0.2">
      <c r="B35" s="55" t="s">
        <v>135</v>
      </c>
      <c r="C35" s="7"/>
      <c r="D35" s="357">
        <v>1.6</v>
      </c>
      <c r="E35" s="7"/>
      <c r="F35" s="19" t="s">
        <v>191</v>
      </c>
      <c r="G35" s="7"/>
      <c r="H35" s="356">
        <f>BroxM</f>
        <v>0.38</v>
      </c>
      <c r="I35" s="7"/>
      <c r="J35" s="20">
        <f>D35*H35</f>
        <v>0.6080000000000001</v>
      </c>
    </row>
    <row r="36" spans="2:12" ht="5.25" customHeight="1" x14ac:dyDescent="0.2">
      <c r="B36" s="7"/>
      <c r="C36" s="7"/>
      <c r="D36" s="59"/>
      <c r="E36" s="7"/>
      <c r="F36" s="8"/>
      <c r="G36" s="7"/>
      <c r="H36" s="61"/>
      <c r="I36" s="7"/>
      <c r="J36" s="20"/>
    </row>
    <row r="37" spans="2:12" x14ac:dyDescent="0.2">
      <c r="B37" s="443" t="s">
        <v>149</v>
      </c>
      <c r="C37" s="439"/>
      <c r="D37" s="440"/>
      <c r="E37" s="439"/>
      <c r="F37" s="441"/>
      <c r="G37" s="439"/>
      <c r="H37" s="442"/>
      <c r="I37" s="7"/>
      <c r="J37" s="324">
        <f>SUM(J38:J39)</f>
        <v>28.045000000000002</v>
      </c>
    </row>
    <row r="38" spans="2:12" x14ac:dyDescent="0.2">
      <c r="B38" s="55" t="s">
        <v>159</v>
      </c>
      <c r="C38" s="7"/>
      <c r="D38" s="357">
        <v>14</v>
      </c>
      <c r="E38" s="7"/>
      <c r="F38" s="312" t="s">
        <v>191</v>
      </c>
      <c r="G38" s="7"/>
      <c r="H38" s="356">
        <f>Quilt</f>
        <v>1.78</v>
      </c>
      <c r="I38" s="7"/>
      <c r="J38" s="20">
        <f>D38*H38</f>
        <v>24.92</v>
      </c>
    </row>
    <row r="39" spans="2:12" x14ac:dyDescent="0.2">
      <c r="B39" s="55" t="s">
        <v>302</v>
      </c>
      <c r="C39" s="7"/>
      <c r="D39" s="357">
        <v>0.5</v>
      </c>
      <c r="E39" s="7"/>
      <c r="F39" s="19" t="s">
        <v>278</v>
      </c>
      <c r="G39" s="7"/>
      <c r="H39" s="356">
        <f>Syltac</f>
        <v>6.25</v>
      </c>
      <c r="I39" s="7"/>
      <c r="J39" s="20">
        <f>D39*H39</f>
        <v>3.125</v>
      </c>
    </row>
    <row r="40" spans="2:12" ht="5.25" customHeight="1" x14ac:dyDescent="0.2">
      <c r="B40" s="7"/>
      <c r="C40" s="7"/>
      <c r="D40" s="59"/>
      <c r="E40" s="7"/>
      <c r="F40" s="8"/>
      <c r="G40" s="7"/>
      <c r="H40" s="61"/>
      <c r="I40" s="7"/>
      <c r="J40" s="20"/>
    </row>
    <row r="41" spans="2:12" x14ac:dyDescent="0.2">
      <c r="B41" s="52" t="s">
        <v>50</v>
      </c>
      <c r="C41" s="7"/>
      <c r="D41" s="73"/>
      <c r="E41" s="7"/>
      <c r="F41" s="8"/>
      <c r="G41" s="7"/>
      <c r="H41" s="61"/>
      <c r="I41" s="7"/>
      <c r="J41" s="324">
        <f>SUM(J42:J45)</f>
        <v>55.650843897307894</v>
      </c>
    </row>
    <row r="42" spans="2:12" x14ac:dyDescent="0.2">
      <c r="B42" s="33" t="s">
        <v>284</v>
      </c>
      <c r="C42" s="7"/>
      <c r="D42" s="353">
        <f>'Machinery Costs'!$M$59</f>
        <v>10.785915492957747</v>
      </c>
      <c r="E42" s="7"/>
      <c r="F42" s="19" t="s">
        <v>286</v>
      </c>
      <c r="G42" s="7"/>
      <c r="H42" s="356">
        <f>Diesel</f>
        <v>2</v>
      </c>
      <c r="I42" s="7"/>
      <c r="J42" s="20">
        <f>D42*H42</f>
        <v>21.571830985915494</v>
      </c>
    </row>
    <row r="43" spans="2:12" x14ac:dyDescent="0.2">
      <c r="B43" s="33" t="s">
        <v>285</v>
      </c>
      <c r="C43" s="7"/>
      <c r="D43" s="43">
        <v>1</v>
      </c>
      <c r="E43" s="7"/>
      <c r="F43" s="19" t="s">
        <v>190</v>
      </c>
      <c r="G43" s="7"/>
      <c r="H43" s="354">
        <f>'Machinery Costs'!$I$59</f>
        <v>3.3460000000000001</v>
      </c>
      <c r="I43" s="7"/>
      <c r="J43" s="20">
        <f>D43*H43</f>
        <v>3.3460000000000001</v>
      </c>
    </row>
    <row r="44" spans="2:12" x14ac:dyDescent="0.2">
      <c r="B44" s="33" t="s">
        <v>91</v>
      </c>
      <c r="C44" s="7"/>
      <c r="D44" s="43">
        <v>1</v>
      </c>
      <c r="E44" s="7"/>
      <c r="F44" s="19" t="s">
        <v>190</v>
      </c>
      <c r="G44" s="7"/>
      <c r="H44" s="354">
        <f>'Machinery Costs'!$G$59</f>
        <v>9.3129999999999988</v>
      </c>
      <c r="I44" s="7"/>
      <c r="J44" s="20">
        <f>D44*H44</f>
        <v>9.3129999999999988</v>
      </c>
    </row>
    <row r="45" spans="2:12" x14ac:dyDescent="0.2">
      <c r="B45" s="33" t="s">
        <v>173</v>
      </c>
      <c r="C45" s="7"/>
      <c r="D45" s="355">
        <f>'Machinery Costs'!$L$59</f>
        <v>1.0710006455696204</v>
      </c>
      <c r="E45" s="7"/>
      <c r="F45" s="312" t="s">
        <v>184</v>
      </c>
      <c r="G45" s="7"/>
      <c r="H45" s="356">
        <f>Labor</f>
        <v>20</v>
      </c>
      <c r="I45" s="7"/>
      <c r="J45" s="20">
        <f>D45*H45</f>
        <v>21.420012911392408</v>
      </c>
      <c r="L45" s="42">
        <f>SUM(J43:J44)</f>
        <v>12.658999999999999</v>
      </c>
    </row>
    <row r="46" spans="2:12" ht="5.25" customHeight="1" x14ac:dyDescent="0.2">
      <c r="B46" s="7"/>
      <c r="C46" s="7"/>
      <c r="D46" s="44"/>
      <c r="E46" s="7"/>
      <c r="F46" s="8"/>
      <c r="G46" s="7"/>
      <c r="H46" s="61"/>
      <c r="I46" s="7"/>
      <c r="J46" s="20"/>
    </row>
    <row r="47" spans="2:12" x14ac:dyDescent="0.2">
      <c r="B47" s="52" t="s">
        <v>152</v>
      </c>
      <c r="C47" s="7"/>
      <c r="D47" s="73"/>
      <c r="E47" s="7"/>
      <c r="F47" s="8"/>
      <c r="G47" s="7"/>
      <c r="H47" s="61"/>
      <c r="I47" s="7"/>
      <c r="J47" s="324">
        <f>SUM(J48:J50)</f>
        <v>11.45</v>
      </c>
    </row>
    <row r="48" spans="2:12" x14ac:dyDescent="0.2">
      <c r="B48" s="55" t="s">
        <v>207</v>
      </c>
      <c r="C48" s="7"/>
      <c r="D48" s="361">
        <v>1</v>
      </c>
      <c r="E48" s="7"/>
      <c r="F48" s="19" t="s">
        <v>190</v>
      </c>
      <c r="G48" s="7"/>
      <c r="H48" s="356">
        <f>Aerial</f>
        <v>8.9499999999999993</v>
      </c>
      <c r="I48" s="7"/>
      <c r="J48" s="20">
        <f>D48*H48</f>
        <v>8.9499999999999993</v>
      </c>
    </row>
    <row r="49" spans="1:33" x14ac:dyDescent="0.2">
      <c r="B49" s="18" t="s">
        <v>261</v>
      </c>
      <c r="C49" s="7"/>
      <c r="D49" s="361">
        <v>0</v>
      </c>
      <c r="E49" s="7"/>
      <c r="F49" s="19" t="s">
        <v>190</v>
      </c>
      <c r="G49" s="7"/>
      <c r="H49" s="356">
        <f>Sprayer</f>
        <v>2</v>
      </c>
      <c r="I49" s="7"/>
      <c r="J49" s="20">
        <f>D49*H49</f>
        <v>0</v>
      </c>
    </row>
    <row r="50" spans="1:33" x14ac:dyDescent="0.2">
      <c r="B50" s="18" t="s">
        <v>195</v>
      </c>
      <c r="C50" s="7"/>
      <c r="D50" s="361">
        <v>1</v>
      </c>
      <c r="E50" s="7"/>
      <c r="F50" s="19" t="s">
        <v>190</v>
      </c>
      <c r="G50" s="7"/>
      <c r="H50" s="356">
        <f>Shooter</f>
        <v>2.5</v>
      </c>
      <c r="I50" s="7"/>
      <c r="J50" s="20">
        <f>D50*H50</f>
        <v>2.5</v>
      </c>
    </row>
    <row r="51" spans="1:33" ht="5.25" customHeight="1" x14ac:dyDescent="0.2">
      <c r="B51" s="7"/>
      <c r="C51" s="7"/>
      <c r="D51" s="44"/>
      <c r="E51" s="7"/>
      <c r="F51" s="8"/>
      <c r="G51" s="7"/>
      <c r="H51" s="61"/>
      <c r="I51" s="7"/>
      <c r="J51" s="20"/>
    </row>
    <row r="52" spans="1:33" x14ac:dyDescent="0.2">
      <c r="B52" s="52" t="s">
        <v>153</v>
      </c>
      <c r="C52" s="7"/>
      <c r="D52" s="44"/>
      <c r="E52" s="7"/>
      <c r="F52" s="8"/>
      <c r="G52" s="7"/>
      <c r="H52" s="61"/>
      <c r="I52" s="7"/>
      <c r="J52" s="324">
        <f>SUM(J53:J55)</f>
        <v>20</v>
      </c>
    </row>
    <row r="53" spans="1:33" x14ac:dyDescent="0.2">
      <c r="B53" s="18" t="s">
        <v>192</v>
      </c>
      <c r="C53" s="7"/>
      <c r="D53" s="43">
        <v>1</v>
      </c>
      <c r="E53" s="7"/>
      <c r="F53" s="19" t="s">
        <v>190</v>
      </c>
      <c r="G53" s="7"/>
      <c r="H53" s="358">
        <f>CIWW</f>
        <v>20</v>
      </c>
      <c r="I53" s="7"/>
      <c r="J53" s="20">
        <f>D53*H53</f>
        <v>20</v>
      </c>
    </row>
    <row r="54" spans="1:33" x14ac:dyDescent="0.2">
      <c r="B54" s="33" t="s">
        <v>172</v>
      </c>
      <c r="C54" s="7"/>
      <c r="D54" s="43"/>
      <c r="E54" s="7"/>
      <c r="F54" s="19"/>
      <c r="G54" s="7"/>
      <c r="H54" s="45"/>
      <c r="I54" s="7"/>
      <c r="J54" s="20">
        <f>D54*H54</f>
        <v>0</v>
      </c>
    </row>
    <row r="55" spans="1:33" x14ac:dyDescent="0.2">
      <c r="B55" s="33" t="s">
        <v>240</v>
      </c>
      <c r="C55" s="7"/>
      <c r="D55" s="43"/>
      <c r="E55" s="7"/>
      <c r="F55" s="312"/>
      <c r="G55" s="7"/>
      <c r="H55" s="45"/>
      <c r="I55" s="7"/>
      <c r="J55" s="20"/>
    </row>
    <row r="56" spans="1:33" ht="3.75" customHeight="1" x14ac:dyDescent="0.2">
      <c r="B56" s="7"/>
      <c r="C56" s="7"/>
      <c r="D56" s="44"/>
      <c r="E56" s="7"/>
      <c r="F56" s="8"/>
      <c r="G56" s="7"/>
      <c r="H56" s="44"/>
      <c r="I56" s="7"/>
      <c r="J56" s="20"/>
    </row>
    <row r="57" spans="1:33" ht="14.25" x14ac:dyDescent="0.2">
      <c r="B57" s="69" t="s">
        <v>329</v>
      </c>
      <c r="C57" s="7"/>
      <c r="D57" s="44"/>
      <c r="E57" s="7"/>
      <c r="F57" s="8"/>
      <c r="G57" s="7"/>
      <c r="H57" s="44"/>
      <c r="I57" s="7"/>
      <c r="J57" s="20">
        <f>+(J18+J21+J28+J41+J47+J52)*operloan*0.75</f>
        <v>9.7789104555714026</v>
      </c>
    </row>
    <row r="58" spans="1:33" ht="5.25" customHeight="1" x14ac:dyDescent="0.2">
      <c r="B58" s="7"/>
      <c r="C58" s="7"/>
      <c r="D58" s="44"/>
      <c r="E58" s="7"/>
      <c r="F58" s="8"/>
      <c r="G58" s="7"/>
      <c r="H58" s="44"/>
      <c r="I58" s="7"/>
      <c r="J58" s="20"/>
    </row>
    <row r="59" spans="1:33" x14ac:dyDescent="0.2">
      <c r="B59" s="52" t="s">
        <v>232</v>
      </c>
      <c r="C59" s="52"/>
      <c r="D59" s="65"/>
      <c r="E59" s="52"/>
      <c r="F59" s="53"/>
      <c r="G59" s="52"/>
      <c r="H59" s="65"/>
      <c r="I59" s="52"/>
      <c r="J59" s="54">
        <f>SUM(J18:J57)-(J18+J21+J28+J41+J47+J52+J37)</f>
        <v>264.58125435287923</v>
      </c>
    </row>
    <row r="60" spans="1:33" x14ac:dyDescent="0.2">
      <c r="B60" s="7" t="s">
        <v>233</v>
      </c>
      <c r="C60" s="7"/>
      <c r="D60" s="44"/>
      <c r="E60" s="7"/>
      <c r="F60" s="8"/>
      <c r="G60" s="7"/>
      <c r="H60" s="44"/>
      <c r="I60" s="7"/>
      <c r="J60" s="20">
        <f>J59/D14</f>
        <v>3.3072656794109903</v>
      </c>
    </row>
    <row r="61" spans="1:33" ht="5.25" customHeight="1" x14ac:dyDescent="0.2">
      <c r="B61" s="7"/>
      <c r="C61" s="7"/>
      <c r="D61" s="44"/>
      <c r="E61" s="7"/>
      <c r="F61" s="8"/>
      <c r="G61" s="7"/>
      <c r="H61" s="44"/>
      <c r="I61" s="7"/>
      <c r="J61" s="20"/>
    </row>
    <row r="62" spans="1:33" s="47" customFormat="1" x14ac:dyDescent="0.2">
      <c r="A62" s="46"/>
      <c r="B62" s="62" t="s">
        <v>234</v>
      </c>
      <c r="C62" s="62"/>
      <c r="D62" s="63"/>
      <c r="E62" s="62"/>
      <c r="F62" s="64"/>
      <c r="G62" s="62"/>
      <c r="H62" s="63"/>
      <c r="I62" s="62"/>
      <c r="J62" s="96">
        <f>J14-J59</f>
        <v>24.218745647120784</v>
      </c>
      <c r="L62" s="46"/>
      <c r="M62" s="46"/>
      <c r="N62" s="46"/>
      <c r="O62" s="46"/>
      <c r="P62" s="46"/>
      <c r="Q62" s="46"/>
      <c r="R62" s="46"/>
      <c r="S62" s="46"/>
      <c r="T62" s="46"/>
      <c r="U62" s="46"/>
      <c r="V62" s="46"/>
      <c r="W62" s="46"/>
      <c r="X62" s="46"/>
      <c r="Y62" s="46"/>
      <c r="Z62" s="46"/>
      <c r="AA62" s="46"/>
      <c r="AB62" s="46"/>
      <c r="AC62" s="46"/>
      <c r="AD62" s="46"/>
      <c r="AE62" s="46"/>
      <c r="AF62" s="46"/>
      <c r="AG62" s="46"/>
    </row>
    <row r="63" spans="1:33" ht="24.75" customHeight="1" x14ac:dyDescent="0.2">
      <c r="B63" s="6" t="s">
        <v>325</v>
      </c>
      <c r="C63" s="7"/>
      <c r="D63" s="44"/>
      <c r="E63" s="7"/>
      <c r="F63" s="8"/>
      <c r="G63" s="7"/>
      <c r="H63" s="44"/>
      <c r="I63" s="7"/>
      <c r="J63" s="20"/>
    </row>
    <row r="64" spans="1:33" x14ac:dyDescent="0.2">
      <c r="B64" s="570" t="s">
        <v>502</v>
      </c>
      <c r="C64" s="570"/>
      <c r="D64" s="570"/>
      <c r="E64" s="7"/>
      <c r="F64" s="19" t="s">
        <v>190</v>
      </c>
      <c r="G64" s="7"/>
      <c r="H64" s="354">
        <f>'Machinery Costs'!$C$59</f>
        <v>18.114999999999998</v>
      </c>
      <c r="I64" s="7"/>
      <c r="J64" s="20">
        <f>H64</f>
        <v>18.114999999999998</v>
      </c>
    </row>
    <row r="65" spans="1:33" x14ac:dyDescent="0.2">
      <c r="B65" s="570" t="s">
        <v>486</v>
      </c>
      <c r="C65" s="570"/>
      <c r="D65" s="570"/>
      <c r="E65" s="7"/>
      <c r="F65" s="19" t="s">
        <v>190</v>
      </c>
      <c r="G65" s="7"/>
      <c r="H65" s="354">
        <f>'Machinery Costs'!$D$59</f>
        <v>13.356000000000002</v>
      </c>
      <c r="I65" s="7"/>
      <c r="J65" s="20">
        <f>H65</f>
        <v>13.356000000000002</v>
      </c>
    </row>
    <row r="66" spans="1:33" x14ac:dyDescent="0.2">
      <c r="B66" s="570" t="s">
        <v>487</v>
      </c>
      <c r="C66" s="570"/>
      <c r="D66" s="570"/>
      <c r="E66" s="7"/>
      <c r="F66" s="19" t="s">
        <v>190</v>
      </c>
      <c r="G66" s="7"/>
      <c r="H66" s="354">
        <f>'Machinery Costs'!$E$59</f>
        <v>5.137999999999999</v>
      </c>
      <c r="I66" s="7"/>
      <c r="J66" s="20">
        <f>H66</f>
        <v>5.137999999999999</v>
      </c>
    </row>
    <row r="67" spans="1:33" x14ac:dyDescent="0.2">
      <c r="B67" s="18" t="s">
        <v>266</v>
      </c>
      <c r="C67" s="7"/>
      <c r="D67" s="44"/>
      <c r="E67" s="7"/>
      <c r="F67" s="19" t="s">
        <v>190</v>
      </c>
      <c r="G67" s="7"/>
      <c r="H67" s="79">
        <f>ROUND((D14*H14)*D69-(J21+J28+H53)*D69, 0)</f>
        <v>50</v>
      </c>
      <c r="I67" s="7"/>
      <c r="J67" s="20">
        <f>+H67</f>
        <v>50</v>
      </c>
    </row>
    <row r="68" spans="1:33" ht="12.75" customHeight="1" x14ac:dyDescent="0.2">
      <c r="B68" s="7" t="s">
        <v>267</v>
      </c>
      <c r="C68" s="7"/>
      <c r="D68" s="44"/>
      <c r="E68" s="7"/>
      <c r="F68" s="8"/>
      <c r="G68" s="7"/>
      <c r="H68" s="93"/>
      <c r="I68" s="7"/>
      <c r="J68" s="20"/>
    </row>
    <row r="69" spans="1:33" ht="12.75" customHeight="1" x14ac:dyDescent="0.2">
      <c r="B69" s="7" t="s">
        <v>268</v>
      </c>
      <c r="C69" s="7"/>
      <c r="D69" s="362">
        <f>OwnerShare</f>
        <v>0.33</v>
      </c>
      <c r="E69" s="7"/>
      <c r="F69" s="8"/>
      <c r="G69" s="7"/>
      <c r="H69" s="61"/>
      <c r="I69" s="7"/>
      <c r="J69" s="20"/>
    </row>
    <row r="70" spans="1:33" ht="12.75" customHeight="1" x14ac:dyDescent="0.2">
      <c r="B70" s="7" t="s">
        <v>269</v>
      </c>
      <c r="C70" s="7"/>
      <c r="D70" s="362">
        <f>OperShare</f>
        <v>0.67</v>
      </c>
      <c r="E70" s="7"/>
      <c r="F70" s="8"/>
      <c r="G70" s="7"/>
      <c r="H70" s="61"/>
      <c r="I70" s="7"/>
      <c r="J70" s="20"/>
    </row>
    <row r="71" spans="1:33" x14ac:dyDescent="0.2">
      <c r="B71" s="51"/>
      <c r="C71" s="51"/>
      <c r="D71" s="74"/>
      <c r="E71" s="51"/>
      <c r="F71" s="74"/>
      <c r="G71" s="7"/>
      <c r="H71" s="44"/>
      <c r="I71" s="7"/>
      <c r="J71" s="20"/>
    </row>
    <row r="72" spans="1:33" ht="14.25" x14ac:dyDescent="0.2">
      <c r="B72" s="147" t="s">
        <v>61</v>
      </c>
      <c r="C72" s="7"/>
      <c r="D72" s="44"/>
      <c r="E72" s="7"/>
      <c r="F72" s="8"/>
      <c r="G72" s="7"/>
      <c r="H72" s="44"/>
      <c r="I72" s="7"/>
      <c r="J72" s="20">
        <f>ROUND(($J$18+$J$21+$J$28+J37+$J$41+$J$47+$J$52)*oh, 0)</f>
        <v>6</v>
      </c>
    </row>
    <row r="73" spans="1:33" ht="14.25" x14ac:dyDescent="0.2">
      <c r="A73" s="197"/>
      <c r="B73" s="147" t="s">
        <v>330</v>
      </c>
      <c r="C73" s="94"/>
      <c r="D73" s="59"/>
      <c r="E73" s="7"/>
      <c r="F73" s="8"/>
      <c r="G73" s="7"/>
      <c r="H73" s="44"/>
      <c r="I73" s="7"/>
      <c r="J73" s="20">
        <f>ROUND(($J$14)*MF, 0)</f>
        <v>14</v>
      </c>
      <c r="K73" s="197"/>
      <c r="L73" s="197"/>
      <c r="M73" s="197"/>
      <c r="N73" s="197"/>
      <c r="O73" s="197"/>
      <c r="P73" s="197"/>
      <c r="Q73" s="197"/>
      <c r="R73" s="197"/>
      <c r="S73" s="197"/>
      <c r="T73" s="197"/>
      <c r="U73" s="197"/>
      <c r="V73" s="197"/>
      <c r="W73" s="197"/>
      <c r="X73" s="197"/>
      <c r="Y73" s="197"/>
      <c r="Z73" s="197"/>
      <c r="AA73" s="197"/>
      <c r="AB73" s="197"/>
      <c r="AC73" s="197"/>
      <c r="AD73" s="197"/>
      <c r="AE73" s="197"/>
      <c r="AF73" s="197"/>
      <c r="AG73"/>
    </row>
    <row r="74" spans="1:33" ht="5.25" customHeight="1" x14ac:dyDescent="0.2">
      <c r="B74" s="7"/>
      <c r="C74" s="7"/>
      <c r="D74" s="44"/>
      <c r="E74" s="7"/>
      <c r="F74" s="8"/>
      <c r="G74" s="7"/>
      <c r="H74" s="44"/>
      <c r="I74" s="7"/>
      <c r="J74" s="20"/>
    </row>
    <row r="75" spans="1:33" x14ac:dyDescent="0.2">
      <c r="B75" s="52" t="s">
        <v>230</v>
      </c>
      <c r="C75" s="52"/>
      <c r="D75" s="65"/>
      <c r="E75" s="52"/>
      <c r="F75" s="53"/>
      <c r="G75" s="52"/>
      <c r="H75" s="65"/>
      <c r="I75" s="52"/>
      <c r="J75" s="54">
        <f>SUM(J63:J73)</f>
        <v>106.60900000000001</v>
      </c>
    </row>
    <row r="76" spans="1:33" x14ac:dyDescent="0.2">
      <c r="B76" s="7" t="s">
        <v>231</v>
      </c>
      <c r="C76" s="7"/>
      <c r="D76" s="44"/>
      <c r="E76" s="7"/>
      <c r="F76" s="8"/>
      <c r="G76" s="7"/>
      <c r="H76" s="44"/>
      <c r="I76" s="7"/>
      <c r="J76" s="20">
        <f>J75/D14</f>
        <v>1.3326125000000002</v>
      </c>
    </row>
    <row r="77" spans="1:33" x14ac:dyDescent="0.2">
      <c r="B77" s="7"/>
      <c r="C77" s="7"/>
      <c r="D77" s="44"/>
      <c r="E77" s="7"/>
      <c r="F77" s="8"/>
      <c r="G77" s="7"/>
      <c r="H77" s="44"/>
      <c r="I77" s="7"/>
      <c r="J77" s="20"/>
    </row>
    <row r="78" spans="1:33" x14ac:dyDescent="0.2">
      <c r="B78" s="52" t="s">
        <v>94</v>
      </c>
      <c r="C78" s="52"/>
      <c r="D78" s="65"/>
      <c r="E78" s="52"/>
      <c r="F78" s="53"/>
      <c r="G78" s="52"/>
      <c r="H78" s="65"/>
      <c r="I78" s="52"/>
      <c r="J78" s="54">
        <f>J59+J75</f>
        <v>371.19025435287926</v>
      </c>
    </row>
    <row r="79" spans="1:33" s="50" customFormat="1" x14ac:dyDescent="0.2">
      <c r="A79" s="68"/>
      <c r="B79" s="69" t="s">
        <v>95</v>
      </c>
      <c r="C79" s="69"/>
      <c r="D79" s="75"/>
      <c r="E79" s="69"/>
      <c r="F79" s="70"/>
      <c r="G79" s="69"/>
      <c r="H79" s="75"/>
      <c r="I79" s="69"/>
      <c r="J79" s="20">
        <f>J78/D14</f>
        <v>4.6398781794109905</v>
      </c>
      <c r="L79" s="68"/>
      <c r="M79" s="68"/>
      <c r="N79" s="68"/>
      <c r="O79" s="68"/>
      <c r="P79" s="68"/>
      <c r="Q79" s="68"/>
      <c r="R79" s="68"/>
      <c r="S79" s="68"/>
      <c r="T79" s="68"/>
      <c r="U79" s="68"/>
      <c r="V79" s="68"/>
      <c r="W79" s="68"/>
      <c r="X79" s="68"/>
      <c r="Y79" s="68"/>
      <c r="Z79" s="68"/>
      <c r="AA79" s="68"/>
      <c r="AB79" s="68"/>
      <c r="AC79" s="68"/>
      <c r="AD79" s="68"/>
      <c r="AE79" s="68"/>
      <c r="AF79" s="68"/>
      <c r="AG79" s="68"/>
    </row>
    <row r="80" spans="1:33" x14ac:dyDescent="0.2">
      <c r="B80" s="7"/>
      <c r="C80" s="7"/>
      <c r="D80" s="44"/>
      <c r="E80" s="7"/>
      <c r="F80" s="8"/>
      <c r="G80" s="7"/>
      <c r="H80" s="44"/>
      <c r="I80" s="7"/>
      <c r="J80" s="20"/>
    </row>
    <row r="81" spans="1:33" s="47" customFormat="1" x14ac:dyDescent="0.2">
      <c r="A81" s="46"/>
      <c r="B81" s="52" t="s">
        <v>326</v>
      </c>
      <c r="C81" s="52"/>
      <c r="D81" s="65"/>
      <c r="E81" s="52"/>
      <c r="F81" s="53"/>
      <c r="G81" s="52"/>
      <c r="H81" s="65"/>
      <c r="I81" s="52"/>
      <c r="J81" s="54">
        <f>J14-J78</f>
        <v>-82.390254352879253</v>
      </c>
      <c r="L81" s="46"/>
      <c r="M81" s="46"/>
      <c r="N81" s="46"/>
      <c r="O81" s="46"/>
      <c r="P81" s="46"/>
      <c r="Q81" s="46"/>
      <c r="R81" s="46"/>
      <c r="S81" s="46"/>
      <c r="T81" s="46"/>
      <c r="U81" s="46"/>
      <c r="V81" s="46"/>
      <c r="W81" s="46"/>
      <c r="X81" s="46"/>
      <c r="Y81" s="46"/>
      <c r="Z81" s="46"/>
      <c r="AA81" s="46"/>
      <c r="AB81" s="46"/>
      <c r="AC81" s="46"/>
      <c r="AD81" s="46"/>
      <c r="AE81" s="46"/>
      <c r="AF81" s="46"/>
      <c r="AG81" s="46"/>
    </row>
    <row r="82" spans="1:33" x14ac:dyDescent="0.2">
      <c r="B82" s="3"/>
      <c r="C82" s="3"/>
      <c r="D82" s="2"/>
      <c r="E82" s="3"/>
      <c r="F82" s="4"/>
      <c r="G82" s="3"/>
      <c r="H82" s="2"/>
      <c r="I82" s="3"/>
      <c r="J82" s="149"/>
    </row>
    <row r="83" spans="1:33" x14ac:dyDescent="0.2">
      <c r="B83" s="56" t="s">
        <v>97</v>
      </c>
      <c r="C83" s="56"/>
      <c r="D83" s="76"/>
      <c r="E83" s="56"/>
      <c r="F83" s="57"/>
      <c r="G83" s="56"/>
      <c r="H83" s="76"/>
      <c r="I83" s="56"/>
      <c r="J83" s="56"/>
      <c r="K83" s="14"/>
    </row>
    <row r="84" spans="1:33" s="457" customFormat="1" ht="15.6" customHeight="1" x14ac:dyDescent="0.2">
      <c r="B84" s="563" t="s">
        <v>468</v>
      </c>
      <c r="C84" s="563"/>
      <c r="D84" s="563"/>
      <c r="E84" s="563"/>
      <c r="F84" s="563"/>
      <c r="G84" s="563"/>
      <c r="H84" s="563"/>
      <c r="I84" s="563"/>
      <c r="J84" s="563"/>
    </row>
    <row r="85" spans="1:33" s="40" customFormat="1" ht="16.5" customHeight="1" x14ac:dyDescent="0.2">
      <c r="B85" s="563" t="s">
        <v>338</v>
      </c>
      <c r="C85" s="563"/>
      <c r="D85" s="563"/>
      <c r="E85" s="563"/>
      <c r="F85" s="563"/>
      <c r="G85" s="563"/>
      <c r="H85" s="563"/>
      <c r="I85" s="563"/>
      <c r="J85" s="563"/>
    </row>
    <row r="86" spans="1:33" s="40" customFormat="1" ht="16.5" customHeight="1" x14ac:dyDescent="0.2">
      <c r="B86" s="568" t="s">
        <v>339</v>
      </c>
      <c r="C86" s="569"/>
      <c r="D86" s="569"/>
      <c r="E86" s="569"/>
      <c r="F86" s="569"/>
      <c r="G86" s="569"/>
      <c r="H86" s="569"/>
      <c r="I86" s="569"/>
      <c r="J86" s="569"/>
    </row>
    <row r="87" spans="1:33" s="40" customFormat="1" ht="15" customHeight="1" x14ac:dyDescent="0.2">
      <c r="B87" s="562"/>
      <c r="C87" s="562"/>
      <c r="D87" s="562"/>
      <c r="E87" s="562"/>
      <c r="F87" s="562"/>
      <c r="G87" s="562"/>
      <c r="H87" s="562"/>
      <c r="I87" s="562"/>
      <c r="J87" s="562"/>
    </row>
    <row r="88" spans="1:33" x14ac:dyDescent="0.2">
      <c r="B88" s="7"/>
      <c r="C88" s="7"/>
      <c r="D88" s="44"/>
      <c r="E88" s="7"/>
      <c r="F88" s="8"/>
      <c r="G88" s="7"/>
      <c r="H88" s="44"/>
      <c r="I88" s="7"/>
      <c r="J88" s="7"/>
    </row>
    <row r="89" spans="1:33" x14ac:dyDescent="0.2">
      <c r="B89" s="22" t="s">
        <v>98</v>
      </c>
      <c r="C89" s="7"/>
      <c r="D89" s="23" t="s">
        <v>99</v>
      </c>
      <c r="E89" s="7"/>
      <c r="F89" s="8"/>
      <c r="G89" s="7"/>
      <c r="H89" s="23" t="s">
        <v>101</v>
      </c>
      <c r="I89" s="7"/>
      <c r="J89" s="7"/>
    </row>
    <row r="90" spans="1:33" x14ac:dyDescent="0.2">
      <c r="B90" s="7"/>
      <c r="C90" s="7"/>
      <c r="D90" s="24">
        <v>0.1</v>
      </c>
      <c r="E90" s="7"/>
      <c r="F90" s="8" t="s">
        <v>100</v>
      </c>
      <c r="G90" s="7"/>
      <c r="H90" s="24">
        <v>0.1</v>
      </c>
      <c r="I90" s="7"/>
      <c r="J90" s="7"/>
    </row>
    <row r="91" spans="1:33" x14ac:dyDescent="0.2">
      <c r="B91" s="7"/>
      <c r="C91" s="7"/>
      <c r="D91" s="25"/>
      <c r="E91" s="3"/>
      <c r="F91" s="2" t="s">
        <v>102</v>
      </c>
      <c r="G91" s="3"/>
      <c r="H91" s="25"/>
      <c r="I91" s="7"/>
      <c r="J91" s="7"/>
    </row>
    <row r="92" spans="1:33" x14ac:dyDescent="0.2">
      <c r="B92" s="26" t="s">
        <v>169</v>
      </c>
      <c r="C92" s="7"/>
      <c r="D92" s="148">
        <f>F92*(1-D90)</f>
        <v>72</v>
      </c>
      <c r="E92" s="27"/>
      <c r="F92" s="28">
        <f>D14</f>
        <v>80</v>
      </c>
      <c r="G92" s="27"/>
      <c r="H92" s="148">
        <f>F92*(1+H90)</f>
        <v>88</v>
      </c>
      <c r="I92" s="7"/>
      <c r="J92" s="7"/>
    </row>
    <row r="93" spans="1:33" ht="4.5" customHeight="1" x14ac:dyDescent="0.2">
      <c r="B93" s="7"/>
      <c r="C93" s="7"/>
      <c r="D93" s="44"/>
      <c r="E93" s="7"/>
      <c r="F93" s="8"/>
      <c r="G93" s="7"/>
      <c r="H93" s="44"/>
      <c r="I93" s="7"/>
      <c r="J93" s="7"/>
    </row>
    <row r="94" spans="1:33" x14ac:dyDescent="0.2">
      <c r="B94" s="7" t="s">
        <v>170</v>
      </c>
      <c r="C94" s="7"/>
      <c r="D94" s="29">
        <f>$J$59/D92</f>
        <v>3.6747396437899891</v>
      </c>
      <c r="E94" s="7"/>
      <c r="F94" s="29">
        <f>$J$59/F92</f>
        <v>3.3072656794109903</v>
      </c>
      <c r="G94" s="7"/>
      <c r="H94" s="29">
        <f>$J$59/H92</f>
        <v>3.0066051631009003</v>
      </c>
      <c r="I94" s="7"/>
      <c r="J94" s="7"/>
    </row>
    <row r="95" spans="1:33" ht="4.5" customHeight="1" x14ac:dyDescent="0.2">
      <c r="B95" s="7"/>
      <c r="C95" s="7"/>
      <c r="D95" s="44"/>
      <c r="E95" s="7"/>
      <c r="F95" s="8"/>
      <c r="G95" s="7"/>
      <c r="H95" s="44"/>
      <c r="I95" s="7"/>
      <c r="J95" s="7"/>
    </row>
    <row r="96" spans="1:33" ht="12.95" customHeight="1" x14ac:dyDescent="0.2">
      <c r="B96" s="7" t="s">
        <v>171</v>
      </c>
      <c r="C96" s="7"/>
      <c r="D96" s="29">
        <f>$J$75/D92</f>
        <v>1.4806805555555558</v>
      </c>
      <c r="E96" s="7"/>
      <c r="F96" s="29">
        <f>$J$75/F92</f>
        <v>1.3326125000000002</v>
      </c>
      <c r="G96" s="7"/>
      <c r="H96" s="29">
        <f>$J$75/H92</f>
        <v>1.2114659090909092</v>
      </c>
      <c r="I96" s="7"/>
      <c r="J96" s="7"/>
    </row>
    <row r="97" spans="2:10" ht="3.75" customHeight="1" x14ac:dyDescent="0.2">
      <c r="B97" s="7"/>
      <c r="C97" s="7"/>
      <c r="D97" s="44"/>
      <c r="E97" s="7"/>
      <c r="F97" s="8"/>
      <c r="G97" s="7"/>
      <c r="H97" s="44"/>
      <c r="I97" s="7"/>
      <c r="J97" s="7"/>
    </row>
    <row r="98" spans="2:10" x14ac:dyDescent="0.2">
      <c r="B98" s="7" t="s">
        <v>188</v>
      </c>
      <c r="C98" s="7"/>
      <c r="D98" s="29">
        <f>$J$78/D92</f>
        <v>5.1554201993455457</v>
      </c>
      <c r="E98" s="7"/>
      <c r="F98" s="29">
        <f>$J$78/F92</f>
        <v>4.6398781794109905</v>
      </c>
      <c r="G98" s="7"/>
      <c r="H98" s="29">
        <f>$J$78/H92</f>
        <v>4.21807107219181</v>
      </c>
      <c r="I98" s="7"/>
      <c r="J98" s="7"/>
    </row>
    <row r="99" spans="2:10" ht="5.25" customHeight="1" x14ac:dyDescent="0.2">
      <c r="B99" s="11"/>
      <c r="C99" s="11"/>
      <c r="D99" s="72"/>
      <c r="E99" s="11"/>
      <c r="F99" s="15"/>
      <c r="G99" s="11"/>
      <c r="H99" s="72"/>
      <c r="I99" s="11"/>
      <c r="J99" s="11"/>
    </row>
    <row r="100" spans="2:10" ht="5.25" customHeight="1" x14ac:dyDescent="0.2">
      <c r="B100" s="11"/>
      <c r="C100" s="11"/>
      <c r="D100" s="23" t="s">
        <v>99</v>
      </c>
      <c r="E100" s="7"/>
      <c r="F100" s="8"/>
      <c r="G100" s="7"/>
      <c r="H100" s="23" t="s">
        <v>101</v>
      </c>
      <c r="I100" s="11"/>
      <c r="J100" s="11"/>
    </row>
    <row r="101" spans="2:10" x14ac:dyDescent="0.2">
      <c r="B101" s="7"/>
      <c r="C101" s="7"/>
      <c r="D101" s="24">
        <v>0.1</v>
      </c>
      <c r="E101" s="7"/>
      <c r="F101" s="8" t="s">
        <v>100</v>
      </c>
      <c r="G101" s="7"/>
      <c r="H101" s="24">
        <v>0.1</v>
      </c>
      <c r="I101" s="7"/>
      <c r="J101" s="7"/>
    </row>
    <row r="102" spans="2:10" x14ac:dyDescent="0.2">
      <c r="B102" s="7"/>
      <c r="C102" s="7"/>
      <c r="D102" s="2"/>
      <c r="E102" s="3"/>
      <c r="F102" s="4" t="s">
        <v>169</v>
      </c>
      <c r="G102" s="3"/>
      <c r="H102" s="2"/>
      <c r="I102" s="7"/>
      <c r="J102" s="7"/>
    </row>
    <row r="103" spans="2:10" x14ac:dyDescent="0.2">
      <c r="B103" s="26" t="s">
        <v>102</v>
      </c>
      <c r="C103" s="7"/>
      <c r="D103" s="30">
        <f>F103*(1-D90)</f>
        <v>3.2490000000000001</v>
      </c>
      <c r="E103" s="27"/>
      <c r="F103" s="31">
        <f>H14</f>
        <v>3.61</v>
      </c>
      <c r="G103" s="27"/>
      <c r="H103" s="30">
        <f>F103*(1+H90)</f>
        <v>3.9710000000000001</v>
      </c>
      <c r="I103" s="7"/>
      <c r="J103" s="7"/>
    </row>
    <row r="104" spans="2:10" ht="4.5" customHeight="1" x14ac:dyDescent="0.2">
      <c r="B104" s="7"/>
      <c r="C104" s="7"/>
      <c r="D104" s="44"/>
      <c r="E104" s="7"/>
      <c r="F104" s="8"/>
      <c r="G104" s="7"/>
      <c r="H104" s="44"/>
      <c r="I104" s="7"/>
      <c r="J104" s="7"/>
    </row>
    <row r="105" spans="2:10" x14ac:dyDescent="0.2">
      <c r="B105" s="7" t="s">
        <v>170</v>
      </c>
      <c r="C105" s="7"/>
      <c r="D105" s="32">
        <f>$J$59/D103</f>
        <v>81.434673546592563</v>
      </c>
      <c r="E105" s="7"/>
      <c r="F105" s="32">
        <f>$J$59/F103</f>
        <v>73.291206191933313</v>
      </c>
      <c r="G105" s="7"/>
      <c r="H105" s="32">
        <f>$J$59/H103</f>
        <v>66.628369265393914</v>
      </c>
      <c r="I105" s="7"/>
      <c r="J105" s="7"/>
    </row>
    <row r="106" spans="2:10" ht="3" customHeight="1" x14ac:dyDescent="0.2">
      <c r="B106" s="7"/>
      <c r="C106" s="7"/>
      <c r="D106" s="44"/>
      <c r="E106" s="7"/>
      <c r="F106" s="8"/>
      <c r="G106" s="7"/>
      <c r="H106" s="44"/>
      <c r="I106" s="7"/>
      <c r="J106" s="7"/>
    </row>
    <row r="107" spans="2:10" x14ac:dyDescent="0.2">
      <c r="B107" s="7" t="s">
        <v>171</v>
      </c>
      <c r="C107" s="7"/>
      <c r="D107" s="32">
        <f>$J$75/D103</f>
        <v>32.812865497076025</v>
      </c>
      <c r="E107" s="7"/>
      <c r="F107" s="32">
        <f>$J$75/F103</f>
        <v>29.531578947368423</v>
      </c>
      <c r="G107" s="7"/>
      <c r="H107" s="32">
        <f>$J$75/H103</f>
        <v>26.846889952153113</v>
      </c>
      <c r="I107" s="7"/>
      <c r="J107" s="7"/>
    </row>
    <row r="108" spans="2:10" ht="3.75" customHeight="1" x14ac:dyDescent="0.2">
      <c r="B108" s="7"/>
      <c r="C108" s="7"/>
      <c r="D108" s="44"/>
      <c r="E108" s="7"/>
      <c r="F108" s="8"/>
      <c r="G108" s="7"/>
      <c r="H108" s="44"/>
      <c r="I108" s="7"/>
      <c r="J108" s="7"/>
    </row>
    <row r="109" spans="2:10" x14ac:dyDescent="0.2">
      <c r="B109" s="7" t="s">
        <v>188</v>
      </c>
      <c r="C109" s="7"/>
      <c r="D109" s="32">
        <f>$J$78/D103</f>
        <v>114.2475390436686</v>
      </c>
      <c r="E109" s="7"/>
      <c r="F109" s="32">
        <f>$J$78/F103</f>
        <v>102.82278513930174</v>
      </c>
      <c r="G109" s="7"/>
      <c r="H109" s="32">
        <f>$J$78/H103</f>
        <v>93.475259217547034</v>
      </c>
      <c r="I109" s="7"/>
      <c r="J109" s="7"/>
    </row>
    <row r="110" spans="2:10" ht="5.25" customHeight="1" x14ac:dyDescent="0.2">
      <c r="B110" s="7"/>
      <c r="C110" s="7"/>
      <c r="D110" s="44"/>
      <c r="E110" s="7"/>
      <c r="F110" s="8"/>
      <c r="G110" s="7"/>
      <c r="H110" s="44"/>
      <c r="I110" s="7"/>
      <c r="J110" s="7"/>
    </row>
    <row r="111" spans="2:10" x14ac:dyDescent="0.2">
      <c r="B111" s="3"/>
      <c r="C111" s="3"/>
      <c r="D111" s="2"/>
      <c r="E111" s="3"/>
      <c r="F111" s="4"/>
      <c r="G111" s="3"/>
      <c r="H111" s="2"/>
      <c r="I111" s="3"/>
      <c r="J111" s="3"/>
    </row>
    <row r="112" spans="2: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sheetData>
  <customSheetViews>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s>
  <mergeCells count="12">
    <mergeCell ref="B3:J3"/>
    <mergeCell ref="B6:J6"/>
    <mergeCell ref="B87:J87"/>
    <mergeCell ref="B84:J84"/>
    <mergeCell ref="M15:R15"/>
    <mergeCell ref="M14:Q14"/>
    <mergeCell ref="B8:K8"/>
    <mergeCell ref="B85:J85"/>
    <mergeCell ref="B86:J86"/>
    <mergeCell ref="B64:D64"/>
    <mergeCell ref="B65:D65"/>
    <mergeCell ref="B66:D66"/>
  </mergeCells>
  <phoneticPr fontId="7" type="noConversion"/>
  <printOptions horizontalCentered="1"/>
  <pageMargins left="0.75" right="0.75" top="1" bottom="1" header="0.5" footer="0.5"/>
  <pageSetup scale="98" fitToHeight="0" orientation="portrait" r:id="rId1"/>
  <headerFooter alignWithMargins="0">
    <oddFooter>&amp;L&amp;A&amp;C                           &amp;F&amp;R&amp;D</oddFooter>
  </headerFooter>
  <rowBreaks count="1" manualBreakCount="1">
    <brk id="62" min="1" max="10" man="1"/>
  </rowBreaks>
  <ignoredErrors>
    <ignoredError sqref="J5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30</vt:i4>
      </vt:variant>
      <vt:variant>
        <vt:lpstr>Charts</vt:lpstr>
      </vt:variant>
      <vt:variant>
        <vt:i4>1</vt:i4>
      </vt:variant>
      <vt:variant>
        <vt:lpstr>Named Ranges</vt:lpstr>
      </vt:variant>
      <vt:variant>
        <vt:i4>143</vt:i4>
      </vt:variant>
    </vt:vector>
  </HeadingPairs>
  <TitlesOfParts>
    <vt:vector size="174" baseType="lpstr">
      <vt:lpstr>Title Page</vt:lpstr>
      <vt:lpstr>Instructions &amp; Assumptions</vt:lpstr>
      <vt:lpstr>Summary</vt:lpstr>
      <vt:lpstr>Sheet1</vt:lpstr>
      <vt:lpstr>Graphical</vt:lpstr>
      <vt:lpstr>Rotation data</vt:lpstr>
      <vt:lpstr>Graph by Crop</vt:lpstr>
      <vt:lpstr>Input Prices</vt:lpstr>
      <vt:lpstr>Soft White Winter Wheat</vt:lpstr>
      <vt:lpstr>SWWW Calendar</vt:lpstr>
      <vt:lpstr>Hard Red Winter Wheat</vt:lpstr>
      <vt:lpstr>HRWW Calendar</vt:lpstr>
      <vt:lpstr>Soft White Spring Wheat</vt:lpstr>
      <vt:lpstr>SSW Calendar</vt:lpstr>
      <vt:lpstr>Hard Red Spring Wheat</vt:lpstr>
      <vt:lpstr>HRSW Calendar</vt:lpstr>
      <vt:lpstr>Feed Barley</vt:lpstr>
      <vt:lpstr>FB Calendar</vt:lpstr>
      <vt:lpstr>Spring Peas</vt:lpstr>
      <vt:lpstr>SP Calendar</vt:lpstr>
      <vt:lpstr>Austrian Winter Peas</vt:lpstr>
      <vt:lpstr>AWP Calendar</vt:lpstr>
      <vt:lpstr>Spring Lentils</vt:lpstr>
      <vt:lpstr>SL Calendar</vt:lpstr>
      <vt:lpstr>Chickpeas</vt:lpstr>
      <vt:lpstr>CP Calendar</vt:lpstr>
      <vt:lpstr>Spring Canola</vt:lpstr>
      <vt:lpstr>SC Calendar</vt:lpstr>
      <vt:lpstr>Machinery Complement</vt:lpstr>
      <vt:lpstr>Machinery Costs</vt:lpstr>
      <vt:lpstr>Graph by Rotation</vt:lpstr>
      <vt:lpstr>AchieveSC</vt:lpstr>
      <vt:lpstr>acres</vt:lpstr>
      <vt:lpstr>Aerial</vt:lpstr>
      <vt:lpstr>Ally</vt:lpstr>
      <vt:lpstr>AmmoniaS</vt:lpstr>
      <vt:lpstr>AmmSulfLiq</vt:lpstr>
      <vt:lpstr>AsanaXL</vt:lpstr>
      <vt:lpstr>AssureII</vt:lpstr>
      <vt:lpstr>Axial</vt:lpstr>
      <vt:lpstr>Barley</vt:lpstr>
      <vt:lpstr>Basagran</vt:lpstr>
      <vt:lpstr>Bronate</vt:lpstr>
      <vt:lpstr>BroxM</vt:lpstr>
      <vt:lpstr>Canola</vt:lpstr>
      <vt:lpstr>Capture</vt:lpstr>
      <vt:lpstr>cashrent</vt:lpstr>
      <vt:lpstr>CIAWP</vt:lpstr>
      <vt:lpstr>CIFB</vt:lpstr>
      <vt:lpstr>CIGARB</vt:lpstr>
      <vt:lpstr>CIHRS</vt:lpstr>
      <vt:lpstr>CIOA</vt:lpstr>
      <vt:lpstr>CISC</vt:lpstr>
      <vt:lpstr>CISL</vt:lpstr>
      <vt:lpstr>CISP</vt:lpstr>
      <vt:lpstr>CISSW</vt:lpstr>
      <vt:lpstr>CIWW</vt:lpstr>
      <vt:lpstr>CIYM</vt:lpstr>
      <vt:lpstr>COC</vt:lpstr>
      <vt:lpstr>custgrspray</vt:lpstr>
      <vt:lpstr>Diesel</vt:lpstr>
      <vt:lpstr>Dimethoate</vt:lpstr>
      <vt:lpstr>Discover</vt:lpstr>
      <vt:lpstr>DNSSd</vt:lpstr>
      <vt:lpstr>DPest</vt:lpstr>
      <vt:lpstr>Fargo</vt:lpstr>
      <vt:lpstr>FertApplicator</vt:lpstr>
      <vt:lpstr>Finesse</vt:lpstr>
      <vt:lpstr>Garbanzo</vt:lpstr>
      <vt:lpstr>Gas</vt:lpstr>
      <vt:lpstr>Glyphosphate</vt:lpstr>
      <vt:lpstr>Headline</vt:lpstr>
      <vt:lpstr>Imidan</vt:lpstr>
      <vt:lpstr>InPlace</vt:lpstr>
      <vt:lpstr>Labor</vt:lpstr>
      <vt:lpstr>Lentil</vt:lpstr>
      <vt:lpstr>liquidN</vt:lpstr>
      <vt:lpstr>Lorox</vt:lpstr>
      <vt:lpstr>Maverick</vt:lpstr>
      <vt:lpstr>MF</vt:lpstr>
      <vt:lpstr>MT</vt:lpstr>
      <vt:lpstr>MustMax</vt:lpstr>
      <vt:lpstr>Nitrogen</vt:lpstr>
      <vt:lpstr>oh</vt:lpstr>
      <vt:lpstr>OL</vt:lpstr>
      <vt:lpstr>operloan</vt:lpstr>
      <vt:lpstr>OperShare</vt:lpstr>
      <vt:lpstr>Osprey</vt:lpstr>
      <vt:lpstr>OwnerShare</vt:lpstr>
      <vt:lpstr>pawp</vt:lpstr>
      <vt:lpstr>Pea</vt:lpstr>
      <vt:lpstr>pg</vt:lpstr>
      <vt:lpstr>Phosphorous</vt:lpstr>
      <vt:lpstr>phrsw</vt:lpstr>
      <vt:lpstr>pl</vt:lpstr>
      <vt:lpstr>poast</vt:lpstr>
      <vt:lpstr>Potassium</vt:lpstr>
      <vt:lpstr>pp</vt:lpstr>
      <vt:lpstr>'Austrian Winter Peas'!Print_Area</vt:lpstr>
      <vt:lpstr>'AWP Calendar'!Print_Area</vt:lpstr>
      <vt:lpstr>Chickpeas!Print_Area</vt:lpstr>
      <vt:lpstr>'CP Calendar'!Print_Area</vt:lpstr>
      <vt:lpstr>'FB Calendar'!Print_Area</vt:lpstr>
      <vt:lpstr>'Feed Barley'!Print_Area</vt:lpstr>
      <vt:lpstr>'Graph by Crop'!Print_Area</vt:lpstr>
      <vt:lpstr>Graphical!Print_Area</vt:lpstr>
      <vt:lpstr>'Hard Red Spring Wheat'!Print_Area</vt:lpstr>
      <vt:lpstr>'Hard Red Winter Wheat'!Print_Area</vt:lpstr>
      <vt:lpstr>'HRSW Calendar'!Print_Area</vt:lpstr>
      <vt:lpstr>'HRWW Calendar'!Print_Area</vt:lpstr>
      <vt:lpstr>'Input Prices'!Print_Area</vt:lpstr>
      <vt:lpstr>'Instructions &amp; Assumptions'!Print_Area</vt:lpstr>
      <vt:lpstr>'Machinery Complement'!Print_Area</vt:lpstr>
      <vt:lpstr>'Machinery Costs'!Print_Area</vt:lpstr>
      <vt:lpstr>'SC Calendar'!Print_Area</vt:lpstr>
      <vt:lpstr>'SL Calendar'!Print_Area</vt:lpstr>
      <vt:lpstr>'Soft White Spring Wheat'!Print_Area</vt:lpstr>
      <vt:lpstr>'Soft White Winter Wheat'!Print_Area</vt:lpstr>
      <vt:lpstr>'SP Calendar'!Print_Area</vt:lpstr>
      <vt:lpstr>'Spring Canola'!Print_Area</vt:lpstr>
      <vt:lpstr>'Spring Lentils'!Print_Area</vt:lpstr>
      <vt:lpstr>'Spring Peas'!Print_Area</vt:lpstr>
      <vt:lpstr>'SSW Calendar'!Print_Area</vt:lpstr>
      <vt:lpstr>Summary!Print_Area</vt:lpstr>
      <vt:lpstr>'SWWW Calendar'!Print_Area</vt:lpstr>
      <vt:lpstr>'Title Page'!Print_Area</vt:lpstr>
      <vt:lpstr>Chickpeas!Print_Titles</vt:lpstr>
      <vt:lpstr>'Feed Barley'!Print_Titles</vt:lpstr>
      <vt:lpstr>Graphical!Print_Titles</vt:lpstr>
      <vt:lpstr>'Hard Red Spring Wheat'!Print_Titles</vt:lpstr>
      <vt:lpstr>'Input Prices'!Print_Titles</vt:lpstr>
      <vt:lpstr>'Soft White Spring Wheat'!Print_Titles</vt:lpstr>
      <vt:lpstr>'Soft White Winter Wheat'!Print_Titles</vt:lpstr>
      <vt:lpstr>'Spring Canola'!Print_Titles</vt:lpstr>
      <vt:lpstr>'Spring Lentils'!Print_Titles</vt:lpstr>
      <vt:lpstr>'Spring Peas'!Print_Titles</vt:lpstr>
      <vt:lpstr>Prowl</vt:lpstr>
      <vt:lpstr>psc</vt:lpstr>
      <vt:lpstr>pswsw</vt:lpstr>
      <vt:lpstr>Pursuit</vt:lpstr>
      <vt:lpstr>pww</vt:lpstr>
      <vt:lpstr>Quadris</vt:lpstr>
      <vt:lpstr>Quilt</vt:lpstr>
      <vt:lpstr>Rhomene</vt:lpstr>
      <vt:lpstr>Rotation</vt:lpstr>
      <vt:lpstr>RotationData</vt:lpstr>
      <vt:lpstr>RPest</vt:lpstr>
      <vt:lpstr>RSW</vt:lpstr>
      <vt:lpstr>sample</vt:lpstr>
      <vt:lpstr>SB</vt:lpstr>
      <vt:lpstr>SC</vt:lpstr>
      <vt:lpstr>Shooter</vt:lpstr>
      <vt:lpstr>Shredder</vt:lpstr>
      <vt:lpstr>SL</vt:lpstr>
      <vt:lpstr>SPeas</vt:lpstr>
      <vt:lpstr>Sprayer</vt:lpstr>
      <vt:lpstr>Starane</vt:lpstr>
      <vt:lpstr>Sulfur</vt:lpstr>
      <vt:lpstr>surf</vt:lpstr>
      <vt:lpstr>SW</vt:lpstr>
      <vt:lpstr>SWSd</vt:lpstr>
      <vt:lpstr>SWSWSd</vt:lpstr>
      <vt:lpstr>SWWWSd</vt:lpstr>
      <vt:lpstr>Syltac</vt:lpstr>
      <vt:lpstr>UltraPro</vt:lpstr>
      <vt:lpstr>yawp</vt:lpstr>
      <vt:lpstr>yg</vt:lpstr>
      <vt:lpstr>yhrsw</vt:lpstr>
      <vt:lpstr>yhrww</vt:lpstr>
      <vt:lpstr>yl</vt:lpstr>
      <vt:lpstr>yp</vt:lpstr>
      <vt:lpstr>ysc</vt:lpstr>
      <vt:lpstr>yswsw</vt:lpstr>
      <vt:lpstr>yww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Reviewer</cp:lastModifiedBy>
  <cp:lastPrinted>2017-03-22T22:06:23Z</cp:lastPrinted>
  <dcterms:created xsi:type="dcterms:W3CDTF">2011-10-07T03:22:19Z</dcterms:created>
  <dcterms:modified xsi:type="dcterms:W3CDTF">2017-03-29T23:46:34Z</dcterms:modified>
</cp:coreProperties>
</file>